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20" windowWidth="12240" windowHeight="4080" tabRatio="799" activeTab="0"/>
  </bookViews>
  <sheets>
    <sheet name="THFC Loans Portfolio" sheetId="1" r:id="rId1"/>
  </sheets>
  <externalReferences>
    <externalReference r:id="rId4"/>
  </externalReferences>
  <definedNames>
    <definedName name="_xlnm._FilterDatabase" localSheetId="0" hidden="1">'THFC Loans Portfolio'!$A$6:$V$6</definedName>
    <definedName name="_xlnm.Print_Area" localSheetId="0">'THFC Loans Portfolio'!$N$4:$V$170</definedName>
    <definedName name="_xlnm.Print_Titles" localSheetId="0">'THFC Loans Portfolio'!$A:$B</definedName>
  </definedNames>
  <calcPr fullCalcOnLoad="1"/>
</workbook>
</file>

<file path=xl/comments1.xml><?xml version="1.0" encoding="utf-8"?>
<comments xmlns="http://schemas.openxmlformats.org/spreadsheetml/2006/main">
  <authors>
    <author>hfc-ianl</author>
    <author>hfc-ian</author>
    <author>hfc-sean</author>
  </authors>
  <commentList>
    <comment ref="B63" authorId="0">
      <text>
        <r>
          <rPr>
            <b/>
            <sz val="9"/>
            <rFont val="Tahoma"/>
            <family val="2"/>
          </rPr>
          <t>hfc-ianl:</t>
        </r>
        <r>
          <rPr>
            <sz val="9"/>
            <rFont val="Tahoma"/>
            <family val="2"/>
          </rPr>
          <t xml:space="preserve">
27.11.15 Name Change
</t>
        </r>
      </text>
    </comment>
    <comment ref="B65" authorId="0">
      <text>
        <r>
          <rPr>
            <b/>
            <sz val="9"/>
            <rFont val="Tahoma"/>
            <family val="2"/>
          </rPr>
          <t>hfc-ianl:</t>
        </r>
        <r>
          <rPr>
            <sz val="9"/>
            <rFont val="Tahoma"/>
            <family val="2"/>
          </rPr>
          <t xml:space="preserve">
name change on 18.06.15
</t>
        </r>
      </text>
    </comment>
    <comment ref="F66" authorId="1">
      <text>
        <r>
          <rPr>
            <b/>
            <sz val="9"/>
            <rFont val="Tahoma"/>
            <family val="2"/>
          </rPr>
          <t>hfc-ian:</t>
        </r>
        <r>
          <rPr>
            <sz val="9"/>
            <rFont val="Tahoma"/>
            <family val="2"/>
          </rPr>
          <t xml:space="preserve">
rounded down 1
</t>
        </r>
      </text>
    </comment>
    <comment ref="G74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 down 1</t>
        </r>
      </text>
    </comment>
  </commentList>
</comments>
</file>

<file path=xl/sharedStrings.xml><?xml version="1.0" encoding="utf-8"?>
<sst xmlns="http://schemas.openxmlformats.org/spreadsheetml/2006/main" count="529" uniqueCount="357">
  <si>
    <t>Area</t>
  </si>
  <si>
    <t>Income Security</t>
  </si>
  <si>
    <t>Grand Total</t>
  </si>
  <si>
    <t>London</t>
  </si>
  <si>
    <t>National</t>
  </si>
  <si>
    <t>North West</t>
  </si>
  <si>
    <t>North East</t>
  </si>
  <si>
    <t>South East</t>
  </si>
  <si>
    <t>South West</t>
  </si>
  <si>
    <t>Scotland</t>
  </si>
  <si>
    <t>£000</t>
  </si>
  <si>
    <t xml:space="preserve">THFC Group Loans </t>
  </si>
  <si>
    <t>Islington &amp; Shoreditch Housing Association Limited</t>
  </si>
  <si>
    <t>Leeds Federated Housing Association Limited</t>
  </si>
  <si>
    <t>North London Muslim Housing Association Limited</t>
  </si>
  <si>
    <t>Home Group Limited</t>
  </si>
  <si>
    <t>Womens Pioneer Housing Limited</t>
  </si>
  <si>
    <t>Cardiff Community Housing Association Limited</t>
  </si>
  <si>
    <t>Clwyd Alyn Housing Association Limited</t>
  </si>
  <si>
    <t>Cotman Housing Association Limited</t>
  </si>
  <si>
    <t>Eildon Housing Association Limited</t>
  </si>
  <si>
    <t>Estuary Housing Association Limited</t>
  </si>
  <si>
    <t>Hexagon Housing Association Limited</t>
  </si>
  <si>
    <t>Hyde Housing Association Limited</t>
  </si>
  <si>
    <t>Innisfree Housing Association Limited</t>
  </si>
  <si>
    <t>Irwell Valley Housing Association Limited</t>
  </si>
  <si>
    <t>North Wales Housing Association Limited</t>
  </si>
  <si>
    <t>Sanctuary Housing Association</t>
  </si>
  <si>
    <t>Soho Housing Association Limited</t>
  </si>
  <si>
    <t>South Yorkshire Housing Association Limited</t>
  </si>
  <si>
    <t>Taff Housing Association Limited</t>
  </si>
  <si>
    <t>Trident Housing Association Limited</t>
  </si>
  <si>
    <t>United Welsh Housing Association Limited</t>
  </si>
  <si>
    <t>Wales and West Housing Association Limited</t>
  </si>
  <si>
    <t>Wandle Housing Association Limited</t>
  </si>
  <si>
    <t>Wirral Methodist Housing Association Limited</t>
  </si>
  <si>
    <t>London &amp; Quadrant Housing Trust</t>
  </si>
  <si>
    <t>Newlon Housing Trust</t>
  </si>
  <si>
    <t>Manningham Housing Association Limited</t>
  </si>
  <si>
    <t>Nottingham Community Housing Association Limited</t>
  </si>
  <si>
    <t>Association borrower (legal entity)</t>
  </si>
  <si>
    <t xml:space="preserve">London </t>
  </si>
  <si>
    <t xml:space="preserve">South West </t>
  </si>
  <si>
    <t>The Housing Finance Corp Limited Loans</t>
  </si>
  <si>
    <t xml:space="preserve">UK Rents (No.1) PLC Loans </t>
  </si>
  <si>
    <t>Total Loan Value</t>
  </si>
  <si>
    <t xml:space="preserve">National </t>
  </si>
  <si>
    <t xml:space="preserve">Wales </t>
  </si>
  <si>
    <t>Total Fixed Charge Security</t>
  </si>
  <si>
    <t>Association borrower ( legal entity)</t>
  </si>
  <si>
    <t>Fixed Charge Security</t>
  </si>
  <si>
    <t>T.H.F.C. (Social Housing Finance) Limited Loans</t>
  </si>
  <si>
    <t>T.H.F.C. (Capital) PLC Loans</t>
  </si>
  <si>
    <t>T.H.F.C. (Indexed 2) Limited Loans</t>
  </si>
  <si>
    <t xml:space="preserve">Metropolitan Housing Trust Limited </t>
  </si>
  <si>
    <t>Moat Homes Limited</t>
  </si>
  <si>
    <t xml:space="preserve">Yorkshire Housing Limited </t>
  </si>
  <si>
    <t>Tuntum Housing Association Limited</t>
  </si>
  <si>
    <t>WIN</t>
  </si>
  <si>
    <t>RID</t>
  </si>
  <si>
    <t>NCH</t>
  </si>
  <si>
    <t xml:space="preserve">Midland Heart Limited </t>
  </si>
  <si>
    <t>NET</t>
  </si>
  <si>
    <t>HUM</t>
  </si>
  <si>
    <t>KUS</t>
  </si>
  <si>
    <t>A2Dominion South Limited</t>
  </si>
  <si>
    <t>NAW</t>
  </si>
  <si>
    <t>Northern Ireland</t>
  </si>
  <si>
    <t>East Midlands</t>
  </si>
  <si>
    <t>Glen Oaks Housing Association Limited</t>
  </si>
  <si>
    <t>Melin Homes Limited</t>
  </si>
  <si>
    <t>North Glasgow Housing Association Limited</t>
  </si>
  <si>
    <t>Origin Housing Limited</t>
  </si>
  <si>
    <t>Paradigm Homes Charitable Housing Association Limited</t>
  </si>
  <si>
    <t>A2Dominion Homes Limited</t>
  </si>
  <si>
    <t>Gateway Housing Association Limited</t>
  </si>
  <si>
    <t>A2 Dominion Homes Limited</t>
  </si>
  <si>
    <t>Bournville Village Trust</t>
  </si>
  <si>
    <t>FOC/MID/TOU/MIH</t>
  </si>
  <si>
    <t>New Gorbals Housing Association Limited</t>
  </si>
  <si>
    <t>Salvation Army Housing Association</t>
  </si>
  <si>
    <t>Thenue Housing Association Limited</t>
  </si>
  <si>
    <t>West Kent Housing Association</t>
  </si>
  <si>
    <t>Castle Rock Edinvar Housing Association Limited</t>
  </si>
  <si>
    <t>Coastal Housing Group Limited</t>
  </si>
  <si>
    <t>Hafod Housing Association Limited</t>
  </si>
  <si>
    <t>Regenda Limited</t>
  </si>
  <si>
    <t>Bromford Housing Association Limited</t>
  </si>
  <si>
    <t>Arcon Housing Association Limited</t>
  </si>
  <si>
    <t>Cornerstone Housing Limited</t>
  </si>
  <si>
    <t>Yorkshire &amp; the Humber</t>
  </si>
  <si>
    <t>Cadwyn Housing Asociation Limited</t>
  </si>
  <si>
    <t>Catalyst Housing Limited</t>
  </si>
  <si>
    <t>Newydd Housing Association (1974) Limited</t>
  </si>
  <si>
    <t>Octavia Housing</t>
  </si>
  <si>
    <t>The Riverside Group Limited</t>
  </si>
  <si>
    <t>Greenoak Housing Association Limited</t>
  </si>
  <si>
    <t>Inquilab Housing Association Limited</t>
  </si>
  <si>
    <t>Affordable Housing Finance Plc       Loans</t>
  </si>
  <si>
    <t>Grwp Cynefin</t>
  </si>
  <si>
    <t>Choice Housing Ireland Limited</t>
  </si>
  <si>
    <t>One Vision Housing Limited</t>
  </si>
  <si>
    <t>VEN</t>
  </si>
  <si>
    <t>Mount Green Housing Association Limited</t>
  </si>
  <si>
    <t>North Devon Homes Limited</t>
  </si>
  <si>
    <t>Stonewater Limited</t>
  </si>
  <si>
    <t>Apex Housing Association Limited</t>
  </si>
  <si>
    <t>Arches Housing Limited</t>
  </si>
  <si>
    <t>Coastline Housing Limited</t>
  </si>
  <si>
    <t>Connswater Homes Limited</t>
  </si>
  <si>
    <t>EMH Housing and Regeneration Limited</t>
  </si>
  <si>
    <t>Home in Scotland Limited</t>
  </si>
  <si>
    <t>Hundred Houses Society Limited</t>
  </si>
  <si>
    <t>"Johnnie" Johnson Housing Trust Limited</t>
  </si>
  <si>
    <t>Joseph Rowntree Housing Trust</t>
  </si>
  <si>
    <t>Orwell Housing Association Limited</t>
  </si>
  <si>
    <t>Plymouth Community Homes Limited</t>
  </si>
  <si>
    <t xml:space="preserve">Sanctuary Scotland Housing Association Limited </t>
  </si>
  <si>
    <t>Selwood Housing Society Limited</t>
  </si>
  <si>
    <t>Shepherds Bush Housing Association Limited</t>
  </si>
  <si>
    <t>The Swaythling Housing Society Limited</t>
  </si>
  <si>
    <t>Westfield Housing Association Limited</t>
  </si>
  <si>
    <t>Worthing Homes Limited</t>
  </si>
  <si>
    <t>Total Floating Charge Security</t>
  </si>
  <si>
    <t>Floating Charge Security</t>
  </si>
  <si>
    <t>Harrogate Housing Association Limited</t>
  </si>
  <si>
    <t>Clanmil Housing Association Limited</t>
  </si>
  <si>
    <t>Golding Homes Limited</t>
  </si>
  <si>
    <t>bpha Limited</t>
  </si>
  <si>
    <t>Merlin Housing Society Limited</t>
  </si>
  <si>
    <t>Round Thousands</t>
  </si>
  <si>
    <t>SPE/SOV</t>
  </si>
  <si>
    <t>BFH</t>
  </si>
  <si>
    <t>Aster Communities</t>
  </si>
  <si>
    <t>AST</t>
  </si>
  <si>
    <t>Accent Housing Limited</t>
  </si>
  <si>
    <t>MER</t>
  </si>
  <si>
    <t>White Horse Housing Association Limited</t>
  </si>
  <si>
    <t>Habinteg Housing Association Limited</t>
  </si>
  <si>
    <t>MSD/HEA</t>
  </si>
  <si>
    <t>Flagship Housing Group Limited</t>
  </si>
  <si>
    <t>Network Homes Limited</t>
  </si>
  <si>
    <t>Pickering and Ferens Homes</t>
  </si>
  <si>
    <t>Gentoo Group Limited</t>
  </si>
  <si>
    <t>Hightown Housing Association Limited</t>
  </si>
  <si>
    <t>Places for People Homes Living+ Limited</t>
  </si>
  <si>
    <t>Bernicia Group</t>
  </si>
  <si>
    <t>BPH</t>
  </si>
  <si>
    <t>CAD</t>
  </si>
  <si>
    <t>CAM</t>
  </si>
  <si>
    <t>CHA</t>
  </si>
  <si>
    <t>ACC/ACP/BRA/NEN</t>
  </si>
  <si>
    <t>ACH</t>
  </si>
  <si>
    <t>CRC</t>
  </si>
  <si>
    <t>BVT</t>
  </si>
  <si>
    <t>CRE</t>
  </si>
  <si>
    <t>EAL/CAT</t>
  </si>
  <si>
    <t>CLA</t>
  </si>
  <si>
    <t>CLW</t>
  </si>
  <si>
    <t>COA</t>
  </si>
  <si>
    <t>COL</t>
  </si>
  <si>
    <t>CON</t>
  </si>
  <si>
    <t>COR</t>
  </si>
  <si>
    <t>COT</t>
  </si>
  <si>
    <t>DER</t>
  </si>
  <si>
    <t>DRU</t>
  </si>
  <si>
    <t>EIL</t>
  </si>
  <si>
    <t>EST</t>
  </si>
  <si>
    <t>CST</t>
  </si>
  <si>
    <t>CLL/PRT</t>
  </si>
  <si>
    <t>GLE</t>
  </si>
  <si>
    <t>NHT</t>
  </si>
  <si>
    <t>GOL</t>
  </si>
  <si>
    <t>GRE</t>
  </si>
  <si>
    <t>HAF</t>
  </si>
  <si>
    <t>HAN</t>
  </si>
  <si>
    <t>EMD</t>
  </si>
  <si>
    <t>HEX</t>
  </si>
  <si>
    <t>HIG</t>
  </si>
  <si>
    <t>ERH</t>
  </si>
  <si>
    <t>HOM</t>
  </si>
  <si>
    <t>HUN</t>
  </si>
  <si>
    <t>INN</t>
  </si>
  <si>
    <t>INQ</t>
  </si>
  <si>
    <t>IRW</t>
  </si>
  <si>
    <t>ISL</t>
  </si>
  <si>
    <t>BGV/GAT</t>
  </si>
  <si>
    <t>GRM</t>
  </si>
  <si>
    <t>GRV</t>
  </si>
  <si>
    <t>HOE</t>
  </si>
  <si>
    <t>GRF</t>
  </si>
  <si>
    <t>JOH</t>
  </si>
  <si>
    <t>MAN</t>
  </si>
  <si>
    <t>MEL</t>
  </si>
  <si>
    <t>HAB/JOG</t>
  </si>
  <si>
    <t>MOA</t>
  </si>
  <si>
    <t>HFA</t>
  </si>
  <si>
    <t>NEW</t>
  </si>
  <si>
    <t>HOS</t>
  </si>
  <si>
    <t>NOT</t>
  </si>
  <si>
    <t>JRT</t>
  </si>
  <si>
    <t>LEY</t>
  </si>
  <si>
    <t>LEF</t>
  </si>
  <si>
    <t>LVP</t>
  </si>
  <si>
    <t>ORB</t>
  </si>
  <si>
    <t>ORW</t>
  </si>
  <si>
    <t>PLY</t>
  </si>
  <si>
    <t>MWA</t>
  </si>
  <si>
    <t>NGO</t>
  </si>
  <si>
    <t>NGL</t>
  </si>
  <si>
    <t>NWA</t>
  </si>
  <si>
    <t>RAI</t>
  </si>
  <si>
    <t>SAD</t>
  </si>
  <si>
    <t>MOS/STV</t>
  </si>
  <si>
    <t>NED</t>
  </si>
  <si>
    <t>NDH</t>
  </si>
  <si>
    <t>NLM</t>
  </si>
  <si>
    <t>SAL</t>
  </si>
  <si>
    <t>SEL</t>
  </si>
  <si>
    <t>SOH</t>
  </si>
  <si>
    <t>STA</t>
  </si>
  <si>
    <t>STO</t>
  </si>
  <si>
    <t>TAF</t>
  </si>
  <si>
    <t>CHI/PAR</t>
  </si>
  <si>
    <t>PFH</t>
  </si>
  <si>
    <t>THE</t>
  </si>
  <si>
    <t>PTL</t>
  </si>
  <si>
    <t>TRI</t>
  </si>
  <si>
    <t>TUN</t>
  </si>
  <si>
    <t>WAN</t>
  </si>
  <si>
    <t>WAT</t>
  </si>
  <si>
    <t>BET/SAN/SHA</t>
  </si>
  <si>
    <t>SAS/TEN</t>
  </si>
  <si>
    <t>SHB</t>
  </si>
  <si>
    <t>SOY</t>
  </si>
  <si>
    <t>UNW</t>
  </si>
  <si>
    <t>WAW</t>
  </si>
  <si>
    <t>WEK</t>
  </si>
  <si>
    <t>SAM</t>
  </si>
  <si>
    <t>WIR</t>
  </si>
  <si>
    <t>WOM</t>
  </si>
  <si>
    <t>WOR</t>
  </si>
  <si>
    <t>YOR</t>
  </si>
  <si>
    <t>STJ</t>
  </si>
  <si>
    <t>WFD</t>
  </si>
  <si>
    <t>WIL</t>
  </si>
  <si>
    <t>YRK</t>
  </si>
  <si>
    <t>PEM</t>
  </si>
  <si>
    <t>ATEB Group Limited</t>
  </si>
  <si>
    <t>CHE/TRV</t>
  </si>
  <si>
    <t>BRO/CHL</t>
  </si>
  <si>
    <t>Clarion Housing Group</t>
  </si>
  <si>
    <t>WLL/MER</t>
  </si>
  <si>
    <t>NOM/ISO</t>
  </si>
  <si>
    <t>LMH</t>
  </si>
  <si>
    <t>DEV/PEN/KNI</t>
  </si>
  <si>
    <t>SOU/AMI/VIR</t>
  </si>
  <si>
    <t>ASR/LEI</t>
  </si>
  <si>
    <t>Peabody Trust</t>
  </si>
  <si>
    <t>FAM/FMO/GAL</t>
  </si>
  <si>
    <t>ENG/RIV</t>
  </si>
  <si>
    <t>SWA</t>
  </si>
  <si>
    <t>TRE</t>
  </si>
  <si>
    <t>WES</t>
  </si>
  <si>
    <t>Vivid Housing Limited</t>
  </si>
  <si>
    <t>FWX/POR/SEN</t>
  </si>
  <si>
    <t>Watford Community Housing Trust</t>
  </si>
  <si>
    <t>YAR</t>
  </si>
  <si>
    <t>ACT/CHR/KEL</t>
  </si>
  <si>
    <t>Anchor Hanover Group</t>
  </si>
  <si>
    <t>ARC</t>
  </si>
  <si>
    <t>BDH</t>
  </si>
  <si>
    <t>Bromsgrove District Housing Trust Limited</t>
  </si>
  <si>
    <t>BEL/OAK/TRN</t>
  </si>
  <si>
    <t>Blend Funding Plc Loans</t>
  </si>
  <si>
    <t>FLA</t>
  </si>
  <si>
    <t>LiveWest Homes Limited</t>
  </si>
  <si>
    <t>NHH/WEH/GEN</t>
  </si>
  <si>
    <t>Notting Hill Genesis</t>
  </si>
  <si>
    <t>STM/DUC</t>
  </si>
  <si>
    <t>Onward Homes Limited</t>
  </si>
  <si>
    <t>FOL/HEL</t>
  </si>
  <si>
    <t>RHO</t>
  </si>
  <si>
    <t>Silva Homes Limited</t>
  </si>
  <si>
    <t>SWH</t>
  </si>
  <si>
    <t>Torus62 Limited</t>
  </si>
  <si>
    <t>UNI</t>
  </si>
  <si>
    <t>WEA</t>
  </si>
  <si>
    <t>Weaver Vale Housing Trust Limited</t>
  </si>
  <si>
    <t>DUM</t>
  </si>
  <si>
    <t>COM/MAM/GPH</t>
  </si>
  <si>
    <t>MET/WAL/THA</t>
  </si>
  <si>
    <t>Mosscare St. Vincents Housing Group Limited</t>
  </si>
  <si>
    <t>Railway Housing Association &amp; Benefit Fund</t>
  </si>
  <si>
    <t>Sovereign Housing Association Limited</t>
  </si>
  <si>
    <t>Trent &amp; Dove Housing Limited</t>
  </si>
  <si>
    <t>Westward Housing Group Limited</t>
  </si>
  <si>
    <t>Your Housing Limited</t>
  </si>
  <si>
    <t>East of England</t>
  </si>
  <si>
    <t>FMB/HAR</t>
  </si>
  <si>
    <t>Platform Housing Limited</t>
  </si>
  <si>
    <t>FES/WCH/DEM/WAT(erloo)</t>
  </si>
  <si>
    <t>BEA/THR/UJI</t>
  </si>
  <si>
    <t>NPT</t>
  </si>
  <si>
    <t>Newport City Homes Housing Association Limited</t>
  </si>
  <si>
    <t>CMM</t>
  </si>
  <si>
    <t>Paragon Asra Housing Limited</t>
  </si>
  <si>
    <t>WEP</t>
  </si>
  <si>
    <t>Karbon Homes Limited</t>
  </si>
  <si>
    <t>Radius Housing Association Limited</t>
  </si>
  <si>
    <t>Synergy Housing Limited</t>
  </si>
  <si>
    <t>Croydon Churches Housing Association Limited</t>
  </si>
  <si>
    <t>Clarion Housing Group Limited</t>
  </si>
  <si>
    <t>Citizen Housing Group Limited</t>
  </si>
  <si>
    <t>The Cambridge Housing Society Limited</t>
  </si>
  <si>
    <t>Great Places Housing Association</t>
  </si>
  <si>
    <t>Honeycomb Group Limited</t>
  </si>
  <si>
    <t>Longhurst Group Limited</t>
  </si>
  <si>
    <t>Rhondda Housing Association</t>
  </si>
  <si>
    <t>LGH/AXI/FRI</t>
  </si>
  <si>
    <t>Total Income Security</t>
  </si>
  <si>
    <t>Barcud Cyfyngedig</t>
  </si>
  <si>
    <t>Eastlight Community Homes Limited</t>
  </si>
  <si>
    <t>Jigsaw Homes North</t>
  </si>
  <si>
    <t>Ongo Homes Limited</t>
  </si>
  <si>
    <t>Orbit Housing Association Limited</t>
  </si>
  <si>
    <t>Pobl Homes and Communities Limited</t>
  </si>
  <si>
    <t>Rooftop Housing Association Limited</t>
  </si>
  <si>
    <t>Unity Housing Association Limited</t>
  </si>
  <si>
    <t>Wakefield and District Housing Association Limited</t>
  </si>
  <si>
    <t>54 North Homes Limited</t>
  </si>
  <si>
    <t>Abri Group Limited</t>
  </si>
  <si>
    <t>B3 Living</t>
  </si>
  <si>
    <t>Brighter Places</t>
  </si>
  <si>
    <t>Cobalt Housing Limited</t>
  </si>
  <si>
    <t>Connect Housing Association Limited</t>
  </si>
  <si>
    <t>Durham Aged Mineworkers' Homes Association</t>
  </si>
  <si>
    <t>English Rural Housing Association Limited</t>
  </si>
  <si>
    <t>ForHousing Limited</t>
  </si>
  <si>
    <t>Grampian Housing Association Limited</t>
  </si>
  <si>
    <t>GreenSquareAccord Limited</t>
  </si>
  <si>
    <t>Merthyr Tydfil  Housing Association Limited</t>
  </si>
  <si>
    <t>Southern Housing</t>
  </si>
  <si>
    <t>Teign Housing</t>
  </si>
  <si>
    <t>The Community Housing Group Limited</t>
  </si>
  <si>
    <t>Trust Housing Association Ltd</t>
  </si>
  <si>
    <t>Valleys to Coast Housing Limited</t>
  </si>
  <si>
    <t>Walsall Housing Group</t>
  </si>
  <si>
    <t>Wheatley Homes South Limited</t>
  </si>
  <si>
    <t>Wheatley Homes East Limited</t>
  </si>
  <si>
    <t>Willow Tree Housing Partnership Limited</t>
  </si>
  <si>
    <t>West Midlands</t>
  </si>
  <si>
    <t>Wales</t>
  </si>
  <si>
    <t xml:space="preserve"> London</t>
  </si>
  <si>
    <t>Floating</t>
  </si>
  <si>
    <t>Premium 31 March 2023</t>
  </si>
  <si>
    <t>Total at 31 March 2023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</si>
</sst>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0.00_ ;[Red]\-0.00\ "/>
    <numFmt numFmtId="174" formatCode="&quot;£&quot;#,##0.000;[Red]\-&quot;£&quot;#,##0.000"/>
    <numFmt numFmtId="175" formatCode="[$-809]dd\ mmmm\ yyyy"/>
    <numFmt numFmtId="176" formatCode="#,##0;[Red]#,##0"/>
    <numFmt numFmtId="177" formatCode="0.0"/>
    <numFmt numFmtId="178" formatCode="&quot;£&quot;#,##0"/>
    <numFmt numFmtId="179" formatCode="#,##0.000"/>
    <numFmt numFmtId="180" formatCode="_-* #,##0.0_-;\-* #,##0.0_-;_-* &quot;-&quot;??_-;_-@_-"/>
    <numFmt numFmtId="181" formatCode="_-* #,##0_-;\-* #,##0_-;_-* &quot;-&quot;??_-;_-@_-"/>
    <numFmt numFmtId="182" formatCode="_-&quot;£&quot;* #,##0.0_-;\-&quot;£&quot;* #,##0.0_-;_-&quot;£&quot;* &quot;-&quot;??_-;_-@_-"/>
    <numFmt numFmtId="183" formatCode="_-&quot;£&quot;* #,##0_-;\-&quot;£&quot;* #,##0_-;_-&quot;£&quot;* &quot;-&quot;??_-;_-@_-"/>
    <numFmt numFmtId="184" formatCode="_£* #,##0_-;\-&quot;£&quot;* #,##0_-;_-&quot;£&quot;* &quot;-&quot;??_-;_-@_-"/>
    <numFmt numFmtId="185" formatCode="_*\ #,##0_-;\-&quot;£&quot;* #,##0_-;_-&quot;£&quot;* &quot;-&quot;??_-;_-@_-"/>
    <numFmt numFmtId="186" formatCode="_-* #,##0.000_-;\-* #,##0.000_-;_-* &quot;-&quot;??_-;_-@_-"/>
    <numFmt numFmtId="187" formatCode="_-* #,##0.0000_-;\-* #,##0.0000_-;_-* &quot;-&quot;??_-;_-@_-"/>
    <numFmt numFmtId="188" formatCode="#,##0.0"/>
    <numFmt numFmtId="189" formatCode="#,##0.0000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#,##0.00000"/>
    <numFmt numFmtId="194" formatCode="[$-409]dddd\,\ dd\ mmmm\,\ yyyy"/>
    <numFmt numFmtId="195" formatCode="[$-409]h:mm:ss\ AM/PM"/>
    <numFmt numFmtId="196" formatCode="#,##0.000000"/>
    <numFmt numFmtId="197" formatCode="#,##0;\(#,##0\)"/>
    <numFmt numFmtId="198" formatCode="#,##0.00000000000000"/>
    <numFmt numFmtId="199" formatCode="#,##0.0000000000000"/>
    <numFmt numFmtId="200" formatCode="#,##0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2060"/>
      </left>
      <right>
        <color indexed="63"/>
      </right>
      <top>
        <color indexed="63"/>
      </top>
      <bottom style="medium"/>
    </border>
    <border>
      <left style="medium">
        <color rgb="FF002060"/>
      </left>
      <right>
        <color indexed="63"/>
      </right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6" fontId="1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/>
    </xf>
    <xf numFmtId="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6" fontId="0" fillId="0" borderId="14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6" fontId="0" fillId="0" borderId="22" xfId="0" applyNumberFormat="1" applyFont="1" applyFill="1" applyBorder="1" applyAlignment="1" quotePrefix="1">
      <alignment horizontal="right"/>
    </xf>
    <xf numFmtId="3" fontId="0" fillId="0" borderId="22" xfId="0" applyNumberFormat="1" applyFont="1" applyFill="1" applyBorder="1" applyAlignment="1" quotePrefix="1">
      <alignment horizontal="right"/>
    </xf>
    <xf numFmtId="0" fontId="1" fillId="0" borderId="23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17" xfId="0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176" fontId="0" fillId="33" borderId="13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/>
    </xf>
    <xf numFmtId="43" fontId="0" fillId="33" borderId="0" xfId="42" applyFont="1" applyFill="1" applyAlignment="1">
      <alignment/>
    </xf>
    <xf numFmtId="176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33" borderId="16" xfId="0" applyNumberFormat="1" applyFont="1" applyFill="1" applyBorder="1" applyAlignment="1">
      <alignment/>
    </xf>
    <xf numFmtId="3" fontId="43" fillId="0" borderId="19" xfId="0" applyNumberFormat="1" applyFont="1" applyFill="1" applyBorder="1" applyAlignment="1">
      <alignment/>
    </xf>
    <xf numFmtId="3" fontId="43" fillId="0" borderId="2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179" fontId="43" fillId="0" borderId="0" xfId="0" applyNumberFormat="1" applyFont="1" applyFill="1" applyAlignment="1">
      <alignment/>
    </xf>
    <xf numFmtId="176" fontId="43" fillId="0" borderId="13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3" fillId="0" borderId="13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13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33" borderId="19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oup%20Summary%2031ST%20MAR%202023%20FE%20UPDATES%2026.5.23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FC Loans Portfolio Floatiing"/>
      <sheetName val="THFC Loans Portfolio Fixed"/>
      <sheetName val="UK 1 and Cap"/>
      <sheetName val="Source of Funds "/>
      <sheetName val="O.C Indebtedness"/>
      <sheetName val="Data For chart instrument struc"/>
      <sheetName val="Data For Chart Geo distrib "/>
      <sheetName val="Data for Chart Geo cont'd"/>
      <sheetName val="Data For Chart Geo ...."/>
      <sheetName val="Data for Chart Loan terms  "/>
      <sheetName val="Borrower Split"/>
      <sheetName val="CHARTS"/>
    </sheetNames>
    <sheetDataSet>
      <sheetData sheetId="0">
        <row r="2">
          <cell r="B2" t="str">
            <v>Loans Portfolio as at 31 March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19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C7" sqref="C7:G20"/>
      <selection pane="topRight" activeCell="C7" sqref="C7:G20"/>
      <selection pane="bottomLeft" activeCell="C7" sqref="C7:G20"/>
      <selection pane="bottomRight" activeCell="AC11" sqref="AC11"/>
    </sheetView>
  </sheetViews>
  <sheetFormatPr defaultColWidth="9.140625" defaultRowHeight="12.75"/>
  <cols>
    <col min="1" max="1" width="24.00390625" style="4" hidden="1" customWidth="1"/>
    <col min="2" max="2" width="52.00390625" style="4" customWidth="1"/>
    <col min="3" max="3" width="20.7109375" style="4" bestFit="1" customWidth="1"/>
    <col min="4" max="5" width="36.140625" style="4" hidden="1" customWidth="1"/>
    <col min="6" max="6" width="30.8515625" style="4" hidden="1" customWidth="1"/>
    <col min="7" max="7" width="41.8515625" style="6" hidden="1" customWidth="1"/>
    <col min="8" max="8" width="37.28125" style="4" hidden="1" customWidth="1"/>
    <col min="9" max="10" width="26.00390625" style="4" hidden="1" customWidth="1"/>
    <col min="11" max="11" width="16.8515625" style="4" hidden="1" customWidth="1"/>
    <col min="12" max="12" width="13.57421875" style="4" hidden="1" customWidth="1"/>
    <col min="13" max="13" width="11.140625" style="4" hidden="1" customWidth="1"/>
    <col min="14" max="14" width="9.140625" style="34" hidden="1" customWidth="1"/>
    <col min="15" max="15" width="16.00390625" style="4" bestFit="1" customWidth="1"/>
    <col min="16" max="16" width="16.00390625" style="4" customWidth="1"/>
    <col min="17" max="17" width="12.8515625" style="4" bestFit="1" customWidth="1"/>
    <col min="18" max="18" width="13.140625" style="4" bestFit="1" customWidth="1"/>
    <col min="19" max="19" width="14.28125" style="4" bestFit="1" customWidth="1"/>
    <col min="20" max="20" width="9.140625" style="4" customWidth="1"/>
    <col min="21" max="21" width="11.00390625" style="4" bestFit="1" customWidth="1"/>
    <col min="22" max="22" width="16.00390625" style="4" bestFit="1" customWidth="1"/>
    <col min="23" max="23" width="9.140625" style="3" customWidth="1"/>
    <col min="24" max="24" width="10.421875" style="3" customWidth="1"/>
    <col min="25" max="167" width="9.140625" style="3" customWidth="1"/>
    <col min="168" max="16384" width="9.140625" style="4" customWidth="1"/>
  </cols>
  <sheetData>
    <row r="1" ht="12.75">
      <c r="B1" s="7" t="s">
        <v>11</v>
      </c>
    </row>
    <row r="2" spans="2:6" ht="12.75">
      <c r="B2" s="71" t="str">
        <f>'[1]THFC Loans Portfolio Floatiing'!B2</f>
        <v>Loans Portfolio as at 31 March 2023</v>
      </c>
      <c r="D2" s="7"/>
      <c r="E2" s="7"/>
      <c r="F2" s="7"/>
    </row>
    <row r="3" ht="13.5" thickBot="1">
      <c r="F3" s="7"/>
    </row>
    <row r="4" spans="2:22" s="5" customFormat="1" ht="18">
      <c r="B4" s="13" t="s">
        <v>50</v>
      </c>
      <c r="C4" s="13"/>
      <c r="G4" s="9"/>
      <c r="N4" s="11"/>
      <c r="O4" s="12" t="s">
        <v>130</v>
      </c>
      <c r="P4" s="12"/>
      <c r="Q4" s="13"/>
      <c r="R4" s="13"/>
      <c r="S4" s="13"/>
      <c r="T4" s="13"/>
      <c r="U4" s="13"/>
      <c r="V4" s="13"/>
    </row>
    <row r="5" spans="2:22" s="5" customFormat="1" ht="77.25" thickBot="1">
      <c r="B5" s="21"/>
      <c r="C5" s="21"/>
      <c r="D5" s="22" t="s">
        <v>43</v>
      </c>
      <c r="E5" s="22" t="s">
        <v>274</v>
      </c>
      <c r="F5" s="22" t="s">
        <v>53</v>
      </c>
      <c r="G5" s="23" t="s">
        <v>51</v>
      </c>
      <c r="H5" s="22" t="s">
        <v>98</v>
      </c>
      <c r="I5" s="22" t="s">
        <v>52</v>
      </c>
      <c r="J5" s="22" t="s">
        <v>44</v>
      </c>
      <c r="K5" s="24" t="s">
        <v>45</v>
      </c>
      <c r="N5" s="14"/>
      <c r="O5" s="15" t="s">
        <v>43</v>
      </c>
      <c r="P5" s="41" t="s">
        <v>274</v>
      </c>
      <c r="Q5" s="15" t="s">
        <v>53</v>
      </c>
      <c r="R5" s="16" t="s">
        <v>51</v>
      </c>
      <c r="S5" s="15" t="s">
        <v>98</v>
      </c>
      <c r="T5" s="15" t="s">
        <v>52</v>
      </c>
      <c r="U5" s="15" t="s">
        <v>44</v>
      </c>
      <c r="V5" s="15" t="s">
        <v>45</v>
      </c>
    </row>
    <row r="6" spans="2:167" s="17" customFormat="1" ht="14.25" thickBot="1" thickTop="1">
      <c r="B6" s="35" t="s">
        <v>49</v>
      </c>
      <c r="C6" s="35" t="s">
        <v>0</v>
      </c>
      <c r="D6" s="36" t="s">
        <v>10</v>
      </c>
      <c r="E6" s="36" t="s">
        <v>10</v>
      </c>
      <c r="F6" s="36" t="s">
        <v>10</v>
      </c>
      <c r="G6" s="37" t="s">
        <v>10</v>
      </c>
      <c r="H6" s="37" t="s">
        <v>10</v>
      </c>
      <c r="I6" s="36" t="s">
        <v>10</v>
      </c>
      <c r="J6" s="36" t="s">
        <v>10</v>
      </c>
      <c r="K6" s="33" t="s">
        <v>10</v>
      </c>
      <c r="L6" s="18"/>
      <c r="N6" s="1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22" ht="12.75">
      <c r="B7" s="28"/>
      <c r="C7" s="28"/>
      <c r="D7" s="28"/>
      <c r="E7" s="28"/>
      <c r="F7" s="28"/>
      <c r="G7" s="25"/>
      <c r="H7" s="28"/>
      <c r="I7" s="28"/>
      <c r="J7" s="28"/>
      <c r="K7" s="29"/>
      <c r="N7" s="30"/>
      <c r="O7" s="43"/>
      <c r="P7" s="43"/>
      <c r="Q7" s="43"/>
      <c r="R7" s="43"/>
      <c r="S7" s="43"/>
      <c r="T7" s="43"/>
      <c r="U7" s="43"/>
      <c r="V7" s="43"/>
    </row>
    <row r="8" spans="1:23" ht="12.75">
      <c r="A8" s="4" t="s">
        <v>268</v>
      </c>
      <c r="B8" s="72" t="s">
        <v>330</v>
      </c>
      <c r="C8" s="72" t="s">
        <v>6</v>
      </c>
      <c r="D8" s="74">
        <f>1750+7500+4000</f>
        <v>13250</v>
      </c>
      <c r="E8" s="72">
        <v>0</v>
      </c>
      <c r="F8" s="72">
        <v>0</v>
      </c>
      <c r="G8" s="74">
        <v>0</v>
      </c>
      <c r="H8" s="72">
        <v>0</v>
      </c>
      <c r="I8" s="72">
        <v>0</v>
      </c>
      <c r="J8" s="25">
        <v>0</v>
      </c>
      <c r="K8" s="26">
        <f aca="true" t="shared" si="0" ref="K8:K39">SUM(D8:J8)</f>
        <v>13250</v>
      </c>
      <c r="L8" s="6"/>
      <c r="M8" s="31"/>
      <c r="N8" s="30"/>
      <c r="O8" s="45">
        <f aca="true" t="shared" si="1" ref="O8:U39">ROUND(D8,0)</f>
        <v>13250</v>
      </c>
      <c r="P8" s="45">
        <f t="shared" si="1"/>
        <v>0</v>
      </c>
      <c r="Q8" s="45">
        <f t="shared" si="1"/>
        <v>0</v>
      </c>
      <c r="R8" s="45">
        <f>ROUND(F8,0)</f>
        <v>0</v>
      </c>
      <c r="S8" s="45">
        <f aca="true" t="shared" si="2" ref="S8:U41">ROUND(H8,0)</f>
        <v>0</v>
      </c>
      <c r="T8" s="45">
        <f>ROUND(G8,0)</f>
        <v>0</v>
      </c>
      <c r="U8" s="45">
        <f>ROUND(H8,0)</f>
        <v>0</v>
      </c>
      <c r="V8" s="42">
        <f aca="true" t="shared" si="3" ref="V8:V39">SUM(O8:U8)</f>
        <v>13250</v>
      </c>
      <c r="W8" s="70"/>
    </row>
    <row r="9" spans="1:23" ht="12.75">
      <c r="A9" s="3" t="s">
        <v>58</v>
      </c>
      <c r="B9" s="72" t="s">
        <v>74</v>
      </c>
      <c r="C9" s="72" t="s">
        <v>7</v>
      </c>
      <c r="D9" s="74">
        <f>550+21134+50000+4000+5000</f>
        <v>80684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25">
        <v>0</v>
      </c>
      <c r="K9" s="26">
        <f t="shared" si="0"/>
        <v>80684</v>
      </c>
      <c r="L9" s="6"/>
      <c r="M9" s="31"/>
      <c r="N9" s="30"/>
      <c r="O9" s="45">
        <f t="shared" si="1"/>
        <v>80684</v>
      </c>
      <c r="P9" s="45">
        <f t="shared" si="1"/>
        <v>0</v>
      </c>
      <c r="Q9" s="45">
        <f t="shared" si="1"/>
        <v>0</v>
      </c>
      <c r="R9" s="45">
        <f>ROUND(F9,0)</f>
        <v>0</v>
      </c>
      <c r="S9" s="45">
        <f t="shared" si="2"/>
        <v>0</v>
      </c>
      <c r="T9" s="45">
        <f>ROUND(G9,0)</f>
        <v>0</v>
      </c>
      <c r="U9" s="45">
        <f>ROUND(H9,0)</f>
        <v>0</v>
      </c>
      <c r="V9" s="42">
        <f t="shared" si="3"/>
        <v>80684</v>
      </c>
      <c r="W9" s="70"/>
    </row>
    <row r="10" spans="1:23" ht="12.75">
      <c r="A10" s="4" t="s">
        <v>151</v>
      </c>
      <c r="B10" s="72" t="s">
        <v>65</v>
      </c>
      <c r="C10" s="72" t="s">
        <v>7</v>
      </c>
      <c r="D10" s="74">
        <v>50000</v>
      </c>
      <c r="E10" s="74">
        <v>0</v>
      </c>
      <c r="F10" s="74">
        <v>647.164</v>
      </c>
      <c r="G10" s="74">
        <v>0</v>
      </c>
      <c r="H10" s="74">
        <v>0</v>
      </c>
      <c r="I10" s="74">
        <v>0</v>
      </c>
      <c r="J10" s="25">
        <v>0</v>
      </c>
      <c r="K10" s="26">
        <f t="shared" si="0"/>
        <v>50647.164</v>
      </c>
      <c r="L10" s="6"/>
      <c r="M10" s="31"/>
      <c r="N10" s="30"/>
      <c r="O10" s="45">
        <f t="shared" si="1"/>
        <v>50000</v>
      </c>
      <c r="P10" s="45">
        <f t="shared" si="1"/>
        <v>0</v>
      </c>
      <c r="Q10" s="45">
        <f t="shared" si="1"/>
        <v>647</v>
      </c>
      <c r="R10" s="45">
        <f t="shared" si="1"/>
        <v>0</v>
      </c>
      <c r="S10" s="45">
        <f t="shared" si="2"/>
        <v>0</v>
      </c>
      <c r="T10" s="45">
        <f t="shared" si="2"/>
        <v>0</v>
      </c>
      <c r="U10" s="45">
        <f t="shared" si="2"/>
        <v>0</v>
      </c>
      <c r="V10" s="42">
        <f t="shared" si="3"/>
        <v>50647</v>
      </c>
      <c r="W10" s="70"/>
    </row>
    <row r="11" spans="1:23" ht="12.75">
      <c r="A11" s="4" t="s">
        <v>139</v>
      </c>
      <c r="B11" s="72" t="s">
        <v>331</v>
      </c>
      <c r="C11" s="72" t="s">
        <v>8</v>
      </c>
      <c r="D11" s="74">
        <f>5000+6000+5000+5000</f>
        <v>21000</v>
      </c>
      <c r="E11" s="74">
        <v>0</v>
      </c>
      <c r="F11" s="74">
        <v>0</v>
      </c>
      <c r="G11" s="74">
        <v>0</v>
      </c>
      <c r="H11" s="74">
        <f>33700+15000</f>
        <v>48700</v>
      </c>
      <c r="I11" s="74">
        <v>0</v>
      </c>
      <c r="J11" s="25">
        <v>0</v>
      </c>
      <c r="K11" s="26">
        <f t="shared" si="0"/>
        <v>69700</v>
      </c>
      <c r="L11" s="6"/>
      <c r="M11" s="31"/>
      <c r="N11" s="30"/>
      <c r="O11" s="45">
        <f t="shared" si="1"/>
        <v>21000</v>
      </c>
      <c r="P11" s="45">
        <f t="shared" si="1"/>
        <v>0</v>
      </c>
      <c r="Q11" s="45">
        <f t="shared" si="1"/>
        <v>0</v>
      </c>
      <c r="R11" s="45">
        <f t="shared" si="1"/>
        <v>0</v>
      </c>
      <c r="S11" s="45">
        <f t="shared" si="2"/>
        <v>48700</v>
      </c>
      <c r="T11" s="45">
        <f t="shared" si="2"/>
        <v>0</v>
      </c>
      <c r="U11" s="45">
        <f t="shared" si="2"/>
        <v>0</v>
      </c>
      <c r="V11" s="42">
        <f t="shared" si="3"/>
        <v>69700</v>
      </c>
      <c r="W11" s="70"/>
    </row>
    <row r="12" spans="1:23" ht="12.75">
      <c r="A12" s="4" t="s">
        <v>175</v>
      </c>
      <c r="B12" s="72" t="s">
        <v>135</v>
      </c>
      <c r="C12" s="72" t="s">
        <v>4</v>
      </c>
      <c r="D12" s="74">
        <v>10000</v>
      </c>
      <c r="E12" s="74">
        <v>0</v>
      </c>
      <c r="F12" s="74">
        <v>0</v>
      </c>
      <c r="G12" s="74">
        <v>0</v>
      </c>
      <c r="H12" s="74">
        <v>20000</v>
      </c>
      <c r="I12" s="74">
        <v>0</v>
      </c>
      <c r="J12" s="25">
        <v>0</v>
      </c>
      <c r="K12" s="26">
        <f t="shared" si="0"/>
        <v>30000</v>
      </c>
      <c r="L12" s="6"/>
      <c r="M12" s="31"/>
      <c r="N12" s="30"/>
      <c r="O12" s="45">
        <f t="shared" si="1"/>
        <v>10000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 t="shared" si="2"/>
        <v>20000</v>
      </c>
      <c r="T12" s="45">
        <f t="shared" si="2"/>
        <v>0</v>
      </c>
      <c r="U12" s="45">
        <f t="shared" si="2"/>
        <v>0</v>
      </c>
      <c r="V12" s="42">
        <f t="shared" si="3"/>
        <v>30000</v>
      </c>
      <c r="W12" s="70"/>
    </row>
    <row r="13" spans="1:23" ht="12.75">
      <c r="A13" s="4" t="s">
        <v>66</v>
      </c>
      <c r="B13" s="72" t="s">
        <v>269</v>
      </c>
      <c r="C13" s="72" t="s">
        <v>4</v>
      </c>
      <c r="D13" s="74">
        <v>30000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25">
        <v>0</v>
      </c>
      <c r="K13" s="26">
        <f t="shared" si="0"/>
        <v>30000</v>
      </c>
      <c r="L13" s="6"/>
      <c r="M13" s="31"/>
      <c r="N13" s="30"/>
      <c r="O13" s="45">
        <f t="shared" si="1"/>
        <v>30000</v>
      </c>
      <c r="P13" s="45">
        <f t="shared" si="1"/>
        <v>0</v>
      </c>
      <c r="Q13" s="45">
        <f t="shared" si="1"/>
        <v>0</v>
      </c>
      <c r="R13" s="45">
        <f t="shared" si="1"/>
        <v>0</v>
      </c>
      <c r="S13" s="45">
        <f t="shared" si="2"/>
        <v>0</v>
      </c>
      <c r="T13" s="45">
        <f t="shared" si="2"/>
        <v>0</v>
      </c>
      <c r="U13" s="45">
        <f t="shared" si="2"/>
        <v>0</v>
      </c>
      <c r="V13" s="42">
        <f t="shared" si="3"/>
        <v>30000</v>
      </c>
      <c r="W13" s="70"/>
    </row>
    <row r="14" spans="1:23" ht="12.75">
      <c r="A14" s="4" t="s">
        <v>152</v>
      </c>
      <c r="B14" s="72" t="s">
        <v>106</v>
      </c>
      <c r="C14" s="72" t="s">
        <v>67</v>
      </c>
      <c r="D14" s="74">
        <f>10000+4875+20000</f>
        <v>34875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25">
        <v>0</v>
      </c>
      <c r="K14" s="26">
        <f t="shared" si="0"/>
        <v>34875</v>
      </c>
      <c r="L14" s="6"/>
      <c r="M14" s="31"/>
      <c r="N14" s="30"/>
      <c r="O14" s="45">
        <f t="shared" si="1"/>
        <v>34875</v>
      </c>
      <c r="P14" s="45">
        <f t="shared" si="1"/>
        <v>0</v>
      </c>
      <c r="Q14" s="45">
        <f t="shared" si="1"/>
        <v>0</v>
      </c>
      <c r="R14" s="45">
        <f t="shared" si="1"/>
        <v>0</v>
      </c>
      <c r="S14" s="45">
        <f t="shared" si="2"/>
        <v>0</v>
      </c>
      <c r="T14" s="45">
        <f t="shared" si="2"/>
        <v>0</v>
      </c>
      <c r="U14" s="45">
        <f t="shared" si="2"/>
        <v>0</v>
      </c>
      <c r="V14" s="42">
        <f t="shared" si="3"/>
        <v>34875</v>
      </c>
      <c r="W14" s="70"/>
    </row>
    <row r="15" spans="1:23" ht="12.75">
      <c r="A15" s="4" t="s">
        <v>270</v>
      </c>
      <c r="B15" s="72" t="s">
        <v>107</v>
      </c>
      <c r="C15" s="72" t="s">
        <v>90</v>
      </c>
      <c r="D15" s="74">
        <v>5100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25">
        <v>0</v>
      </c>
      <c r="K15" s="26">
        <f t="shared" si="0"/>
        <v>5100</v>
      </c>
      <c r="L15" s="6"/>
      <c r="M15" s="31"/>
      <c r="N15" s="30"/>
      <c r="O15" s="45">
        <f t="shared" si="1"/>
        <v>5100</v>
      </c>
      <c r="P15" s="45">
        <f t="shared" si="1"/>
        <v>0</v>
      </c>
      <c r="Q15" s="45">
        <f t="shared" si="1"/>
        <v>0</v>
      </c>
      <c r="R15" s="45">
        <f t="shared" si="1"/>
        <v>0</v>
      </c>
      <c r="S15" s="45">
        <f t="shared" si="2"/>
        <v>0</v>
      </c>
      <c r="T15" s="45">
        <f t="shared" si="2"/>
        <v>0</v>
      </c>
      <c r="U15" s="45">
        <f t="shared" si="2"/>
        <v>0</v>
      </c>
      <c r="V15" s="42">
        <f t="shared" si="3"/>
        <v>5100</v>
      </c>
      <c r="W15" s="70"/>
    </row>
    <row r="16" spans="1:23" ht="12.75">
      <c r="A16" s="4" t="s">
        <v>134</v>
      </c>
      <c r="B16" s="72" t="s">
        <v>88</v>
      </c>
      <c r="C16" s="72" t="s">
        <v>5</v>
      </c>
      <c r="D16" s="74">
        <v>4000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25">
        <v>0</v>
      </c>
      <c r="K16" s="26">
        <f t="shared" si="0"/>
        <v>4000</v>
      </c>
      <c r="L16" s="6"/>
      <c r="M16" s="31"/>
      <c r="N16" s="69"/>
      <c r="O16" s="45">
        <f t="shared" si="1"/>
        <v>4000</v>
      </c>
      <c r="P16" s="45">
        <f t="shared" si="1"/>
        <v>0</v>
      </c>
      <c r="Q16" s="45">
        <f t="shared" si="1"/>
        <v>0</v>
      </c>
      <c r="R16" s="45">
        <f t="shared" si="1"/>
        <v>0</v>
      </c>
      <c r="S16" s="45">
        <f t="shared" si="2"/>
        <v>0</v>
      </c>
      <c r="T16" s="45">
        <f t="shared" si="2"/>
        <v>0</v>
      </c>
      <c r="U16" s="45">
        <f t="shared" si="2"/>
        <v>0</v>
      </c>
      <c r="V16" s="42">
        <f t="shared" si="3"/>
        <v>4000</v>
      </c>
      <c r="W16" s="70"/>
    </row>
    <row r="17" spans="1:23" ht="12.75">
      <c r="A17" s="4" t="s">
        <v>247</v>
      </c>
      <c r="B17" s="72" t="s">
        <v>133</v>
      </c>
      <c r="C17" s="72" t="s">
        <v>8</v>
      </c>
      <c r="D17" s="74">
        <v>0</v>
      </c>
      <c r="E17" s="74">
        <v>0</v>
      </c>
      <c r="F17" s="74">
        <v>0</v>
      </c>
      <c r="G17" s="74">
        <v>0</v>
      </c>
      <c r="H17" s="74">
        <f>50000+35000+15000</f>
        <v>100000</v>
      </c>
      <c r="I17" s="74">
        <v>0</v>
      </c>
      <c r="J17" s="25">
        <v>0</v>
      </c>
      <c r="K17" s="26">
        <f t="shared" si="0"/>
        <v>100000</v>
      </c>
      <c r="L17" s="6"/>
      <c r="M17" s="31"/>
      <c r="N17" s="69"/>
      <c r="O17" s="45">
        <f t="shared" si="1"/>
        <v>0</v>
      </c>
      <c r="P17" s="45">
        <f t="shared" si="1"/>
        <v>0</v>
      </c>
      <c r="Q17" s="45">
        <f t="shared" si="1"/>
        <v>0</v>
      </c>
      <c r="R17" s="45">
        <f t="shared" si="1"/>
        <v>0</v>
      </c>
      <c r="S17" s="45">
        <f t="shared" si="2"/>
        <v>100000</v>
      </c>
      <c r="T17" s="45">
        <f t="shared" si="2"/>
        <v>0</v>
      </c>
      <c r="U17" s="45">
        <f t="shared" si="2"/>
        <v>0</v>
      </c>
      <c r="V17" s="42">
        <f t="shared" si="3"/>
        <v>100000</v>
      </c>
      <c r="W17" s="70"/>
    </row>
    <row r="18" spans="1:23" ht="12.75">
      <c r="A18" s="68"/>
      <c r="B18" s="72" t="s">
        <v>248</v>
      </c>
      <c r="C18" s="72" t="s">
        <v>47</v>
      </c>
      <c r="D18" s="74">
        <v>1000</v>
      </c>
      <c r="E18" s="74">
        <v>18000</v>
      </c>
      <c r="F18" s="74">
        <v>0</v>
      </c>
      <c r="G18" s="74">
        <v>0</v>
      </c>
      <c r="H18" s="74">
        <v>0</v>
      </c>
      <c r="I18" s="74">
        <v>0</v>
      </c>
      <c r="J18" s="25"/>
      <c r="K18" s="26">
        <f t="shared" si="0"/>
        <v>19000</v>
      </c>
      <c r="L18" s="6"/>
      <c r="M18" s="31"/>
      <c r="N18" s="69"/>
      <c r="O18" s="45">
        <f t="shared" si="1"/>
        <v>1000</v>
      </c>
      <c r="P18" s="45">
        <f t="shared" si="1"/>
        <v>18000</v>
      </c>
      <c r="Q18" s="45">
        <f t="shared" si="1"/>
        <v>0</v>
      </c>
      <c r="R18" s="45">
        <f t="shared" si="1"/>
        <v>0</v>
      </c>
      <c r="S18" s="45">
        <f t="shared" si="2"/>
        <v>0</v>
      </c>
      <c r="T18" s="45">
        <f t="shared" si="2"/>
        <v>0</v>
      </c>
      <c r="U18" s="45">
        <f t="shared" si="2"/>
        <v>0</v>
      </c>
      <c r="V18" s="42">
        <f t="shared" si="3"/>
        <v>19000</v>
      </c>
      <c r="W18" s="70"/>
    </row>
    <row r="19" spans="1:23" ht="12.75">
      <c r="A19" s="68" t="s">
        <v>249</v>
      </c>
      <c r="B19" s="72" t="s">
        <v>332</v>
      </c>
      <c r="C19" s="72" t="s">
        <v>7</v>
      </c>
      <c r="D19" s="74">
        <v>0</v>
      </c>
      <c r="E19" s="74">
        <v>35000</v>
      </c>
      <c r="F19" s="74">
        <v>0</v>
      </c>
      <c r="G19" s="74">
        <v>0</v>
      </c>
      <c r="H19" s="74">
        <v>0</v>
      </c>
      <c r="I19" s="74">
        <v>0</v>
      </c>
      <c r="J19" s="25">
        <v>0</v>
      </c>
      <c r="K19" s="26">
        <f t="shared" si="0"/>
        <v>35000</v>
      </c>
      <c r="L19" s="6"/>
      <c r="M19" s="31"/>
      <c r="N19" s="30"/>
      <c r="O19" s="45">
        <f t="shared" si="1"/>
        <v>0</v>
      </c>
      <c r="P19" s="45">
        <f t="shared" si="1"/>
        <v>35000</v>
      </c>
      <c r="Q19" s="45">
        <f t="shared" si="1"/>
        <v>0</v>
      </c>
      <c r="R19" s="45">
        <f>ROUND(G19,0)</f>
        <v>0</v>
      </c>
      <c r="S19" s="45">
        <f>ROUND(H19,0)</f>
        <v>0</v>
      </c>
      <c r="T19" s="45">
        <f>ROUND(I19,0)</f>
        <v>0</v>
      </c>
      <c r="U19" s="45">
        <f>ROUND(J19,0)</f>
        <v>0</v>
      </c>
      <c r="V19" s="42">
        <f t="shared" si="3"/>
        <v>35000</v>
      </c>
      <c r="W19" s="70"/>
    </row>
    <row r="20" spans="1:23" ht="12.75">
      <c r="A20" s="68" t="s">
        <v>154</v>
      </c>
      <c r="B20" s="72" t="s">
        <v>321</v>
      </c>
      <c r="C20" s="72" t="s">
        <v>47</v>
      </c>
      <c r="D20" s="74">
        <v>3000</v>
      </c>
      <c r="E20" s="74">
        <v>0</v>
      </c>
      <c r="F20" s="74">
        <v>355.937</v>
      </c>
      <c r="G20" s="74">
        <v>0</v>
      </c>
      <c r="H20" s="74">
        <v>0</v>
      </c>
      <c r="I20" s="74">
        <v>0</v>
      </c>
      <c r="J20" s="25">
        <v>0</v>
      </c>
      <c r="K20" s="26">
        <f t="shared" si="0"/>
        <v>3355.937</v>
      </c>
      <c r="L20" s="6"/>
      <c r="M20" s="31"/>
      <c r="N20" s="30"/>
      <c r="O20" s="45">
        <f t="shared" si="1"/>
        <v>3000</v>
      </c>
      <c r="P20" s="45">
        <f t="shared" si="1"/>
        <v>0</v>
      </c>
      <c r="Q20" s="45">
        <f t="shared" si="1"/>
        <v>356</v>
      </c>
      <c r="R20" s="45">
        <f t="shared" si="1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2">
        <f t="shared" si="3"/>
        <v>3356</v>
      </c>
      <c r="W20" s="70"/>
    </row>
    <row r="21" spans="1:23" ht="13.5" customHeight="1">
      <c r="A21" s="68" t="s">
        <v>147</v>
      </c>
      <c r="B21" s="72" t="s">
        <v>146</v>
      </c>
      <c r="C21" s="72" t="s">
        <v>6</v>
      </c>
      <c r="D21" s="74">
        <f>3400.816+1050+10000</f>
        <v>14450.815999999999</v>
      </c>
      <c r="E21" s="74">
        <v>0</v>
      </c>
      <c r="F21" s="74">
        <v>0</v>
      </c>
      <c r="G21" s="74">
        <v>145.4</v>
      </c>
      <c r="H21" s="74">
        <v>5000</v>
      </c>
      <c r="I21" s="74">
        <v>0</v>
      </c>
      <c r="J21" s="25">
        <v>0</v>
      </c>
      <c r="K21" s="26">
        <f t="shared" si="0"/>
        <v>19596.216</v>
      </c>
      <c r="L21" s="6"/>
      <c r="M21" s="31"/>
      <c r="N21" s="30"/>
      <c r="O21" s="45">
        <f t="shared" si="1"/>
        <v>14451</v>
      </c>
      <c r="P21" s="45">
        <f t="shared" si="1"/>
        <v>0</v>
      </c>
      <c r="Q21" s="45">
        <f t="shared" si="1"/>
        <v>0</v>
      </c>
      <c r="R21" s="45">
        <f t="shared" si="1"/>
        <v>145</v>
      </c>
      <c r="S21" s="45">
        <f t="shared" si="2"/>
        <v>5000</v>
      </c>
      <c r="T21" s="45">
        <f t="shared" si="2"/>
        <v>0</v>
      </c>
      <c r="U21" s="45">
        <f t="shared" si="2"/>
        <v>0</v>
      </c>
      <c r="V21" s="42">
        <f t="shared" si="3"/>
        <v>19596</v>
      </c>
      <c r="W21" s="70"/>
    </row>
    <row r="22" spans="1:23" ht="13.5" customHeight="1">
      <c r="A22" s="68" t="s">
        <v>271</v>
      </c>
      <c r="B22" s="72" t="s">
        <v>77</v>
      </c>
      <c r="C22" s="72" t="s">
        <v>351</v>
      </c>
      <c r="D22" s="74">
        <v>20000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25">
        <v>0</v>
      </c>
      <c r="K22" s="26">
        <f t="shared" si="0"/>
        <v>20000</v>
      </c>
      <c r="L22" s="6"/>
      <c r="M22" s="31"/>
      <c r="N22" s="30"/>
      <c r="O22" s="45">
        <f t="shared" si="1"/>
        <v>20000</v>
      </c>
      <c r="P22" s="45">
        <f t="shared" si="1"/>
        <v>0</v>
      </c>
      <c r="Q22" s="45">
        <f t="shared" si="1"/>
        <v>0</v>
      </c>
      <c r="R22" s="45">
        <f t="shared" si="1"/>
        <v>0</v>
      </c>
      <c r="S22" s="45">
        <f t="shared" si="2"/>
        <v>0</v>
      </c>
      <c r="T22" s="45">
        <f t="shared" si="2"/>
        <v>0</v>
      </c>
      <c r="U22" s="45">
        <f t="shared" si="2"/>
        <v>0</v>
      </c>
      <c r="V22" s="42">
        <f t="shared" si="3"/>
        <v>20000</v>
      </c>
      <c r="W22" s="70"/>
    </row>
    <row r="23" spans="1:23" ht="13.5" customHeight="1">
      <c r="A23" s="68" t="s">
        <v>250</v>
      </c>
      <c r="B23" s="72" t="s">
        <v>333</v>
      </c>
      <c r="C23" s="72" t="s">
        <v>8</v>
      </c>
      <c r="D23" s="74">
        <v>10000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25">
        <v>0</v>
      </c>
      <c r="K23" s="26">
        <f t="shared" si="0"/>
        <v>10000</v>
      </c>
      <c r="L23" s="6"/>
      <c r="M23" s="31"/>
      <c r="N23" s="30"/>
      <c r="O23" s="45">
        <f t="shared" si="1"/>
        <v>10000</v>
      </c>
      <c r="P23" s="45">
        <f t="shared" si="1"/>
        <v>0</v>
      </c>
      <c r="Q23" s="45">
        <f t="shared" si="1"/>
        <v>0</v>
      </c>
      <c r="R23" s="45">
        <f t="shared" si="1"/>
        <v>0</v>
      </c>
      <c r="S23" s="45">
        <f t="shared" si="2"/>
        <v>0</v>
      </c>
      <c r="T23" s="45">
        <f t="shared" si="2"/>
        <v>0</v>
      </c>
      <c r="U23" s="45">
        <f t="shared" si="2"/>
        <v>0</v>
      </c>
      <c r="V23" s="42">
        <f t="shared" si="3"/>
        <v>10000</v>
      </c>
      <c r="W23" s="70"/>
    </row>
    <row r="24" spans="1:23" ht="12.75">
      <c r="A24" s="4" t="s">
        <v>148</v>
      </c>
      <c r="B24" s="72" t="s">
        <v>128</v>
      </c>
      <c r="C24" s="72" t="s">
        <v>298</v>
      </c>
      <c r="D24" s="74">
        <v>0</v>
      </c>
      <c r="E24" s="74">
        <v>0</v>
      </c>
      <c r="F24" s="74">
        <v>0</v>
      </c>
      <c r="G24" s="74">
        <v>0</v>
      </c>
      <c r="H24" s="74">
        <f>36000+44000</f>
        <v>80000</v>
      </c>
      <c r="I24" s="74">
        <v>0</v>
      </c>
      <c r="J24" s="60">
        <v>0</v>
      </c>
      <c r="K24" s="61">
        <f t="shared" si="0"/>
        <v>80000</v>
      </c>
      <c r="L24" s="62"/>
      <c r="M24" s="63"/>
      <c r="N24" s="64"/>
      <c r="O24" s="45">
        <f t="shared" si="1"/>
        <v>0</v>
      </c>
      <c r="P24" s="45">
        <f t="shared" si="1"/>
        <v>0</v>
      </c>
      <c r="Q24" s="45">
        <f t="shared" si="1"/>
        <v>0</v>
      </c>
      <c r="R24" s="45">
        <f t="shared" si="1"/>
        <v>0</v>
      </c>
      <c r="S24" s="45">
        <f t="shared" si="2"/>
        <v>80000</v>
      </c>
      <c r="T24" s="45">
        <f t="shared" si="2"/>
        <v>0</v>
      </c>
      <c r="U24" s="45">
        <f t="shared" si="2"/>
        <v>0</v>
      </c>
      <c r="V24" s="42">
        <f t="shared" si="3"/>
        <v>80000</v>
      </c>
      <c r="W24" s="70"/>
    </row>
    <row r="25" spans="1:23" ht="12.75">
      <c r="A25" s="4" t="s">
        <v>153</v>
      </c>
      <c r="B25" s="72" t="s">
        <v>87</v>
      </c>
      <c r="C25" s="72" t="s">
        <v>351</v>
      </c>
      <c r="D25" s="74">
        <f>55000+2000</f>
        <v>57000</v>
      </c>
      <c r="E25" s="74">
        <v>0</v>
      </c>
      <c r="F25" s="74">
        <v>0</v>
      </c>
      <c r="G25" s="74">
        <v>0</v>
      </c>
      <c r="H25" s="74">
        <f>43000+27000</f>
        <v>70000</v>
      </c>
      <c r="I25" s="74">
        <v>0</v>
      </c>
      <c r="J25" s="60">
        <v>0</v>
      </c>
      <c r="K25" s="61">
        <f t="shared" si="0"/>
        <v>127000</v>
      </c>
      <c r="L25" s="62"/>
      <c r="M25" s="63"/>
      <c r="N25" s="64"/>
      <c r="O25" s="45">
        <f t="shared" si="1"/>
        <v>57000</v>
      </c>
      <c r="P25" s="45">
        <f t="shared" si="1"/>
        <v>0</v>
      </c>
      <c r="Q25" s="45">
        <f t="shared" si="1"/>
        <v>0</v>
      </c>
      <c r="R25" s="45">
        <f t="shared" si="1"/>
        <v>0</v>
      </c>
      <c r="S25" s="45">
        <f t="shared" si="1"/>
        <v>70000</v>
      </c>
      <c r="T25" s="45">
        <f t="shared" si="1"/>
        <v>0</v>
      </c>
      <c r="U25" s="45">
        <f t="shared" si="1"/>
        <v>0</v>
      </c>
      <c r="V25" s="42">
        <f t="shared" si="3"/>
        <v>127000</v>
      </c>
      <c r="W25" s="70"/>
    </row>
    <row r="26" spans="1:23" ht="12.75">
      <c r="A26" s="4" t="s">
        <v>155</v>
      </c>
      <c r="B26" s="72" t="s">
        <v>272</v>
      </c>
      <c r="C26" s="72" t="s">
        <v>351</v>
      </c>
      <c r="D26" s="74">
        <v>10000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60">
        <v>0</v>
      </c>
      <c r="K26" s="61">
        <f t="shared" si="0"/>
        <v>10000</v>
      </c>
      <c r="L26" s="62"/>
      <c r="M26" s="63"/>
      <c r="N26" s="64"/>
      <c r="O26" s="45">
        <f t="shared" si="1"/>
        <v>10000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2">
        <f t="shared" si="3"/>
        <v>10000</v>
      </c>
      <c r="W26" s="70"/>
    </row>
    <row r="27" spans="1:23" ht="12.75">
      <c r="A27" s="4" t="s">
        <v>156</v>
      </c>
      <c r="B27" s="72" t="s">
        <v>91</v>
      </c>
      <c r="C27" s="72" t="s">
        <v>352</v>
      </c>
      <c r="D27" s="74">
        <v>5000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60">
        <v>0</v>
      </c>
      <c r="K27" s="61">
        <f t="shared" si="0"/>
        <v>5000</v>
      </c>
      <c r="L27" s="62"/>
      <c r="M27" s="63"/>
      <c r="N27" s="64"/>
      <c r="O27" s="45">
        <f t="shared" si="1"/>
        <v>5000</v>
      </c>
      <c r="P27" s="45">
        <f t="shared" si="1"/>
        <v>0</v>
      </c>
      <c r="Q27" s="45">
        <f t="shared" si="1"/>
        <v>0</v>
      </c>
      <c r="R27" s="45">
        <f t="shared" si="1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2">
        <f t="shared" si="3"/>
        <v>5000</v>
      </c>
      <c r="W27" s="70"/>
    </row>
    <row r="28" spans="1:23" ht="12.75">
      <c r="A28" s="4" t="s">
        <v>150</v>
      </c>
      <c r="B28" s="72" t="s">
        <v>17</v>
      </c>
      <c r="C28" s="72" t="s">
        <v>47</v>
      </c>
      <c r="D28" s="74">
        <v>6937.5</v>
      </c>
      <c r="E28" s="74">
        <v>37000</v>
      </c>
      <c r="F28" s="74">
        <v>0</v>
      </c>
      <c r="G28" s="74">
        <v>0</v>
      </c>
      <c r="H28" s="74">
        <v>0</v>
      </c>
      <c r="I28" s="74">
        <v>0</v>
      </c>
      <c r="J28" s="60">
        <v>0</v>
      </c>
      <c r="K28" s="61">
        <f t="shared" si="0"/>
        <v>43937.5</v>
      </c>
      <c r="L28" s="62"/>
      <c r="M28" s="63"/>
      <c r="N28" s="64"/>
      <c r="O28" s="45">
        <f t="shared" si="1"/>
        <v>6938</v>
      </c>
      <c r="P28" s="45">
        <f t="shared" si="1"/>
        <v>37000</v>
      </c>
      <c r="Q28" s="45">
        <f t="shared" si="1"/>
        <v>0</v>
      </c>
      <c r="R28" s="45">
        <f t="shared" si="1"/>
        <v>0</v>
      </c>
      <c r="S28" s="45">
        <f t="shared" si="2"/>
        <v>0</v>
      </c>
      <c r="T28" s="45">
        <f t="shared" si="2"/>
        <v>0</v>
      </c>
      <c r="U28" s="45">
        <f t="shared" si="2"/>
        <v>0</v>
      </c>
      <c r="V28" s="42">
        <f t="shared" si="3"/>
        <v>43938</v>
      </c>
      <c r="W28" s="70"/>
    </row>
    <row r="29" spans="1:23" ht="12.75">
      <c r="A29" s="4" t="s">
        <v>273</v>
      </c>
      <c r="B29" s="72" t="s">
        <v>83</v>
      </c>
      <c r="C29" s="72" t="s">
        <v>9</v>
      </c>
      <c r="D29" s="74">
        <v>5500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60">
        <v>0</v>
      </c>
      <c r="K29" s="61">
        <f t="shared" si="0"/>
        <v>5500</v>
      </c>
      <c r="L29" s="62"/>
      <c r="M29" s="63"/>
      <c r="N29" s="64"/>
      <c r="O29" s="45">
        <f t="shared" si="1"/>
        <v>5500</v>
      </c>
      <c r="P29" s="45">
        <f t="shared" si="1"/>
        <v>0</v>
      </c>
      <c r="Q29" s="45">
        <f t="shared" si="1"/>
        <v>0</v>
      </c>
      <c r="R29" s="45">
        <f t="shared" si="1"/>
        <v>0</v>
      </c>
      <c r="S29" s="45">
        <f t="shared" si="2"/>
        <v>0</v>
      </c>
      <c r="T29" s="45">
        <f t="shared" si="2"/>
        <v>0</v>
      </c>
      <c r="U29" s="45">
        <f t="shared" si="2"/>
        <v>0</v>
      </c>
      <c r="V29" s="42">
        <f t="shared" si="3"/>
        <v>5500</v>
      </c>
      <c r="W29" s="70"/>
    </row>
    <row r="30" spans="1:23" ht="12.75">
      <c r="A30" s="4" t="s">
        <v>299</v>
      </c>
      <c r="B30" s="72" t="s">
        <v>92</v>
      </c>
      <c r="C30" s="72" t="s">
        <v>3</v>
      </c>
      <c r="D30" s="74">
        <v>0</v>
      </c>
      <c r="E30" s="74">
        <v>0</v>
      </c>
      <c r="F30" s="74">
        <v>0</v>
      </c>
      <c r="G30" s="74">
        <v>0</v>
      </c>
      <c r="H30" s="74">
        <v>50000</v>
      </c>
      <c r="I30" s="74">
        <v>0</v>
      </c>
      <c r="J30" s="60">
        <v>0</v>
      </c>
      <c r="K30" s="61">
        <f t="shared" si="0"/>
        <v>50000</v>
      </c>
      <c r="L30" s="62"/>
      <c r="M30" s="63"/>
      <c r="N30" s="64"/>
      <c r="O30" s="45">
        <f t="shared" si="1"/>
        <v>0</v>
      </c>
      <c r="P30" s="45">
        <f t="shared" si="1"/>
        <v>0</v>
      </c>
      <c r="Q30" s="45">
        <f t="shared" si="1"/>
        <v>0</v>
      </c>
      <c r="R30" s="45">
        <f t="shared" si="1"/>
        <v>0</v>
      </c>
      <c r="S30" s="45">
        <f t="shared" si="2"/>
        <v>50000</v>
      </c>
      <c r="T30" s="45">
        <f t="shared" si="2"/>
        <v>0</v>
      </c>
      <c r="U30" s="45">
        <f t="shared" si="2"/>
        <v>0</v>
      </c>
      <c r="V30" s="42">
        <f t="shared" si="3"/>
        <v>50000</v>
      </c>
      <c r="W30" s="70"/>
    </row>
    <row r="31" spans="1:23" ht="12.75">
      <c r="A31" s="4" t="s">
        <v>157</v>
      </c>
      <c r="B31" s="72" t="s">
        <v>100</v>
      </c>
      <c r="C31" s="72" t="s">
        <v>67</v>
      </c>
      <c r="D31" s="74">
        <f>4625+20000+1000+7000+12000</f>
        <v>44625</v>
      </c>
      <c r="E31" s="74">
        <v>50000</v>
      </c>
      <c r="F31" s="74">
        <v>0</v>
      </c>
      <c r="G31" s="74">
        <v>0</v>
      </c>
      <c r="H31" s="74">
        <v>0</v>
      </c>
      <c r="I31" s="74">
        <v>0</v>
      </c>
      <c r="J31" s="60">
        <v>0</v>
      </c>
      <c r="K31" s="61">
        <f t="shared" si="0"/>
        <v>94625</v>
      </c>
      <c r="L31" s="62"/>
      <c r="M31" s="63"/>
      <c r="N31" s="64"/>
      <c r="O31" s="45">
        <f t="shared" si="1"/>
        <v>44625</v>
      </c>
      <c r="P31" s="45">
        <f t="shared" si="1"/>
        <v>50000</v>
      </c>
      <c r="Q31" s="45">
        <f t="shared" si="1"/>
        <v>0</v>
      </c>
      <c r="R31" s="45">
        <f t="shared" si="1"/>
        <v>0</v>
      </c>
      <c r="S31" s="45">
        <f t="shared" si="2"/>
        <v>0</v>
      </c>
      <c r="T31" s="45">
        <f t="shared" si="2"/>
        <v>0</v>
      </c>
      <c r="U31" s="45">
        <f t="shared" si="2"/>
        <v>0</v>
      </c>
      <c r="V31" s="42">
        <f t="shared" si="3"/>
        <v>94625</v>
      </c>
      <c r="W31" s="70"/>
    </row>
    <row r="32" spans="1:23" ht="12.75">
      <c r="A32" s="4" t="s">
        <v>252</v>
      </c>
      <c r="B32" s="72" t="s">
        <v>313</v>
      </c>
      <c r="C32" s="72" t="s">
        <v>351</v>
      </c>
      <c r="D32" s="74">
        <f>4000+2500+1500+8500</f>
        <v>16500</v>
      </c>
      <c r="E32" s="74">
        <v>0</v>
      </c>
      <c r="F32" s="74">
        <v>0</v>
      </c>
      <c r="G32" s="74">
        <v>111.6</v>
      </c>
      <c r="H32" s="74">
        <v>0</v>
      </c>
      <c r="I32" s="74">
        <v>0</v>
      </c>
      <c r="J32" s="60">
        <v>0</v>
      </c>
      <c r="K32" s="61">
        <f t="shared" si="0"/>
        <v>16611.6</v>
      </c>
      <c r="L32" s="62"/>
      <c r="M32" s="63"/>
      <c r="N32" s="64"/>
      <c r="O32" s="45">
        <f t="shared" si="1"/>
        <v>16500</v>
      </c>
      <c r="P32" s="45">
        <f t="shared" si="1"/>
        <v>0</v>
      </c>
      <c r="Q32" s="45">
        <f t="shared" si="1"/>
        <v>0</v>
      </c>
      <c r="R32" s="45">
        <f t="shared" si="1"/>
        <v>112</v>
      </c>
      <c r="S32" s="45">
        <f t="shared" si="2"/>
        <v>0</v>
      </c>
      <c r="T32" s="45">
        <f t="shared" si="2"/>
        <v>0</v>
      </c>
      <c r="U32" s="45">
        <f t="shared" si="2"/>
        <v>0</v>
      </c>
      <c r="V32" s="42">
        <f t="shared" si="3"/>
        <v>16612</v>
      </c>
      <c r="W32" s="70"/>
    </row>
    <row r="33" spans="1:23" ht="12.75">
      <c r="A33" s="4" t="s">
        <v>158</v>
      </c>
      <c r="B33" s="72" t="s">
        <v>126</v>
      </c>
      <c r="C33" s="72" t="s">
        <v>67</v>
      </c>
      <c r="D33" s="74">
        <f>15000+15000</f>
        <v>30000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60">
        <v>0</v>
      </c>
      <c r="K33" s="61">
        <f t="shared" si="0"/>
        <v>30000</v>
      </c>
      <c r="L33" s="62"/>
      <c r="M33" s="63"/>
      <c r="N33" s="64"/>
      <c r="O33" s="45">
        <f t="shared" si="1"/>
        <v>30000</v>
      </c>
      <c r="P33" s="45">
        <f t="shared" si="1"/>
        <v>0</v>
      </c>
      <c r="Q33" s="45">
        <f t="shared" si="1"/>
        <v>0</v>
      </c>
      <c r="R33" s="45">
        <f t="shared" si="1"/>
        <v>0</v>
      </c>
      <c r="S33" s="45">
        <f t="shared" si="2"/>
        <v>0</v>
      </c>
      <c r="T33" s="45">
        <f t="shared" si="2"/>
        <v>0</v>
      </c>
      <c r="U33" s="45">
        <f t="shared" si="2"/>
        <v>0</v>
      </c>
      <c r="V33" s="42">
        <f t="shared" si="3"/>
        <v>30000</v>
      </c>
      <c r="W33" s="70"/>
    </row>
    <row r="34" spans="1:23" ht="12.75">
      <c r="A34" s="4" t="s">
        <v>159</v>
      </c>
      <c r="B34" s="72" t="s">
        <v>312</v>
      </c>
      <c r="C34" s="72" t="s">
        <v>4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60">
        <v>0</v>
      </c>
      <c r="K34" s="61">
        <f t="shared" si="0"/>
        <v>0</v>
      </c>
      <c r="L34" s="62"/>
      <c r="M34" s="63"/>
      <c r="N34" s="64"/>
      <c r="O34" s="45">
        <f t="shared" si="1"/>
        <v>0</v>
      </c>
      <c r="P34" s="45">
        <f t="shared" si="1"/>
        <v>0</v>
      </c>
      <c r="Q34" s="45">
        <f t="shared" si="1"/>
        <v>0</v>
      </c>
      <c r="R34" s="45">
        <f t="shared" si="1"/>
        <v>0</v>
      </c>
      <c r="S34" s="45">
        <f t="shared" si="2"/>
        <v>0</v>
      </c>
      <c r="T34" s="45">
        <f t="shared" si="2"/>
        <v>0</v>
      </c>
      <c r="U34" s="45">
        <f t="shared" si="2"/>
        <v>0</v>
      </c>
      <c r="V34" s="42">
        <f t="shared" si="3"/>
        <v>0</v>
      </c>
      <c r="W34" s="70"/>
    </row>
    <row r="35" spans="1:23" ht="12.75">
      <c r="A35" s="4" t="s">
        <v>168</v>
      </c>
      <c r="B35" s="72" t="s">
        <v>18</v>
      </c>
      <c r="C35" s="72" t="s">
        <v>352</v>
      </c>
      <c r="D35" s="74">
        <f>2000+5000</f>
        <v>7000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60">
        <v>0</v>
      </c>
      <c r="K35" s="61">
        <f t="shared" si="0"/>
        <v>7000</v>
      </c>
      <c r="L35" s="62"/>
      <c r="M35" s="63"/>
      <c r="N35" s="64"/>
      <c r="O35" s="45">
        <f t="shared" si="1"/>
        <v>7000</v>
      </c>
      <c r="P35" s="45">
        <f t="shared" si="1"/>
        <v>0</v>
      </c>
      <c r="Q35" s="45">
        <f t="shared" si="1"/>
        <v>0</v>
      </c>
      <c r="R35" s="45">
        <f t="shared" si="1"/>
        <v>0</v>
      </c>
      <c r="S35" s="45">
        <f t="shared" si="2"/>
        <v>0</v>
      </c>
      <c r="T35" s="45">
        <f t="shared" si="2"/>
        <v>0</v>
      </c>
      <c r="U35" s="45">
        <f t="shared" si="2"/>
        <v>0</v>
      </c>
      <c r="V35" s="42">
        <f t="shared" si="3"/>
        <v>7000</v>
      </c>
      <c r="W35" s="70"/>
    </row>
    <row r="36" spans="1:23" ht="12.75">
      <c r="A36" s="4" t="s">
        <v>160</v>
      </c>
      <c r="B36" s="72" t="s">
        <v>84</v>
      </c>
      <c r="C36" s="72" t="s">
        <v>47</v>
      </c>
      <c r="D36" s="74">
        <f>15000+20000</f>
        <v>35000</v>
      </c>
      <c r="E36" s="74">
        <v>0</v>
      </c>
      <c r="F36" s="74">
        <v>0</v>
      </c>
      <c r="G36" s="74">
        <v>0</v>
      </c>
      <c r="H36" s="74">
        <f>13000+7000</f>
        <v>20000</v>
      </c>
      <c r="I36" s="74">
        <v>0</v>
      </c>
      <c r="J36" s="60">
        <v>0</v>
      </c>
      <c r="K36" s="61">
        <f t="shared" si="0"/>
        <v>55000</v>
      </c>
      <c r="L36" s="62"/>
      <c r="M36" s="63"/>
      <c r="N36" s="64"/>
      <c r="O36" s="45">
        <f t="shared" si="1"/>
        <v>35000</v>
      </c>
      <c r="P36" s="45">
        <f t="shared" si="1"/>
        <v>0</v>
      </c>
      <c r="Q36" s="45">
        <f t="shared" si="1"/>
        <v>0</v>
      </c>
      <c r="R36" s="45">
        <f t="shared" si="1"/>
        <v>0</v>
      </c>
      <c r="S36" s="45">
        <f t="shared" si="2"/>
        <v>20000</v>
      </c>
      <c r="T36" s="45">
        <f t="shared" si="2"/>
        <v>0</v>
      </c>
      <c r="U36" s="45">
        <f t="shared" si="2"/>
        <v>0</v>
      </c>
      <c r="V36" s="42">
        <f t="shared" si="3"/>
        <v>55000</v>
      </c>
      <c r="W36" s="70"/>
    </row>
    <row r="37" spans="1:23" ht="12.75">
      <c r="A37" s="4" t="s">
        <v>59</v>
      </c>
      <c r="B37" s="72" t="s">
        <v>108</v>
      </c>
      <c r="C37" s="72" t="s">
        <v>8</v>
      </c>
      <c r="D37" s="74">
        <v>0</v>
      </c>
      <c r="E37" s="74">
        <v>0</v>
      </c>
      <c r="F37" s="74">
        <v>0</v>
      </c>
      <c r="G37" s="74">
        <v>0</v>
      </c>
      <c r="H37" s="74">
        <f>8300+23000</f>
        <v>31300</v>
      </c>
      <c r="I37" s="74">
        <v>0</v>
      </c>
      <c r="J37" s="60">
        <v>0</v>
      </c>
      <c r="K37" s="61">
        <f t="shared" si="0"/>
        <v>31300</v>
      </c>
      <c r="L37" s="66"/>
      <c r="M37" s="63"/>
      <c r="N37" s="64"/>
      <c r="O37" s="45">
        <f t="shared" si="1"/>
        <v>0</v>
      </c>
      <c r="P37" s="45">
        <f t="shared" si="1"/>
        <v>0</v>
      </c>
      <c r="Q37" s="45">
        <f t="shared" si="1"/>
        <v>0</v>
      </c>
      <c r="R37" s="45">
        <f t="shared" si="1"/>
        <v>0</v>
      </c>
      <c r="S37" s="45">
        <f t="shared" si="2"/>
        <v>31300</v>
      </c>
      <c r="T37" s="45">
        <f t="shared" si="2"/>
        <v>0</v>
      </c>
      <c r="U37" s="45">
        <f t="shared" si="2"/>
        <v>0</v>
      </c>
      <c r="V37" s="42">
        <f t="shared" si="3"/>
        <v>31300</v>
      </c>
      <c r="W37" s="70"/>
    </row>
    <row r="38" spans="1:23" ht="12.75">
      <c r="A38" s="4" t="s">
        <v>161</v>
      </c>
      <c r="B38" s="72" t="s">
        <v>334</v>
      </c>
      <c r="C38" s="72" t="s">
        <v>5</v>
      </c>
      <c r="D38" s="74">
        <v>0</v>
      </c>
      <c r="E38" s="74">
        <v>25000</v>
      </c>
      <c r="F38" s="74">
        <v>0</v>
      </c>
      <c r="G38" s="74">
        <v>0</v>
      </c>
      <c r="H38" s="74">
        <v>0</v>
      </c>
      <c r="I38" s="74">
        <v>0</v>
      </c>
      <c r="J38" s="60">
        <v>0</v>
      </c>
      <c r="K38" s="61">
        <f t="shared" si="0"/>
        <v>25000</v>
      </c>
      <c r="L38" s="62"/>
      <c r="M38" s="63"/>
      <c r="N38" s="64"/>
      <c r="O38" s="45">
        <f t="shared" si="1"/>
        <v>0</v>
      </c>
      <c r="P38" s="45">
        <f t="shared" si="1"/>
        <v>25000</v>
      </c>
      <c r="Q38" s="45">
        <f t="shared" si="1"/>
        <v>0</v>
      </c>
      <c r="R38" s="45">
        <f t="shared" si="1"/>
        <v>0</v>
      </c>
      <c r="S38" s="45">
        <f t="shared" si="2"/>
        <v>0</v>
      </c>
      <c r="T38" s="45">
        <f t="shared" si="2"/>
        <v>0</v>
      </c>
      <c r="U38" s="45">
        <f t="shared" si="2"/>
        <v>0</v>
      </c>
      <c r="V38" s="42">
        <f t="shared" si="3"/>
        <v>25000</v>
      </c>
      <c r="W38" s="70"/>
    </row>
    <row r="39" spans="1:23" ht="12.75">
      <c r="A39" s="4" t="s">
        <v>169</v>
      </c>
      <c r="B39" s="72" t="s">
        <v>335</v>
      </c>
      <c r="C39" s="72" t="s">
        <v>90</v>
      </c>
      <c r="D39" s="74">
        <v>0</v>
      </c>
      <c r="E39" s="74">
        <v>30000</v>
      </c>
      <c r="F39" s="74">
        <v>0</v>
      </c>
      <c r="G39" s="74">
        <v>0</v>
      </c>
      <c r="H39" s="74">
        <v>0</v>
      </c>
      <c r="I39" s="74">
        <v>0</v>
      </c>
      <c r="J39" s="60">
        <v>0</v>
      </c>
      <c r="K39" s="61">
        <f t="shared" si="0"/>
        <v>30000</v>
      </c>
      <c r="L39" s="62"/>
      <c r="M39" s="63"/>
      <c r="N39" s="64"/>
      <c r="O39" s="45">
        <f t="shared" si="1"/>
        <v>0</v>
      </c>
      <c r="P39" s="45">
        <f t="shared" si="1"/>
        <v>30000</v>
      </c>
      <c r="Q39" s="45">
        <f t="shared" si="1"/>
        <v>0</v>
      </c>
      <c r="R39" s="45">
        <f t="shared" si="1"/>
        <v>0</v>
      </c>
      <c r="S39" s="45">
        <f t="shared" si="2"/>
        <v>0</v>
      </c>
      <c r="T39" s="45">
        <f t="shared" si="2"/>
        <v>0</v>
      </c>
      <c r="U39" s="45">
        <f t="shared" si="2"/>
        <v>0</v>
      </c>
      <c r="V39" s="42">
        <f t="shared" si="3"/>
        <v>30000</v>
      </c>
      <c r="W39" s="70"/>
    </row>
    <row r="40" spans="1:23" ht="12.75">
      <c r="A40" s="4" t="s">
        <v>162</v>
      </c>
      <c r="B40" s="72" t="s">
        <v>109</v>
      </c>
      <c r="C40" s="72" t="s">
        <v>67</v>
      </c>
      <c r="D40" s="74">
        <f>3000+1000</f>
        <v>4000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60">
        <v>0</v>
      </c>
      <c r="K40" s="61">
        <f aca="true" t="shared" si="4" ref="K40:K71">SUM(D40:J40)</f>
        <v>4000</v>
      </c>
      <c r="L40" s="62"/>
      <c r="M40" s="63"/>
      <c r="N40" s="64"/>
      <c r="O40" s="45">
        <f aca="true" t="shared" si="5" ref="O40:U52">ROUND(D40,0)</f>
        <v>4000</v>
      </c>
      <c r="P40" s="45">
        <f t="shared" si="5"/>
        <v>0</v>
      </c>
      <c r="Q40" s="45">
        <f t="shared" si="5"/>
        <v>0</v>
      </c>
      <c r="R40" s="45">
        <f t="shared" si="5"/>
        <v>0</v>
      </c>
      <c r="S40" s="45">
        <f t="shared" si="2"/>
        <v>0</v>
      </c>
      <c r="T40" s="45">
        <f t="shared" si="2"/>
        <v>0</v>
      </c>
      <c r="U40" s="45">
        <f t="shared" si="2"/>
        <v>0</v>
      </c>
      <c r="V40" s="42">
        <f aca="true" t="shared" si="6" ref="V40:V71">SUM(O40:U40)</f>
        <v>4000</v>
      </c>
      <c r="W40" s="70"/>
    </row>
    <row r="41" spans="1:23" ht="12.75">
      <c r="A41" s="4" t="s">
        <v>163</v>
      </c>
      <c r="B41" s="72" t="s">
        <v>89</v>
      </c>
      <c r="C41" s="72" t="s">
        <v>8</v>
      </c>
      <c r="D41" s="74">
        <v>5000</v>
      </c>
      <c r="E41" s="74">
        <v>0</v>
      </c>
      <c r="F41" s="74">
        <v>0</v>
      </c>
      <c r="G41" s="74">
        <v>0</v>
      </c>
      <c r="H41" s="74">
        <v>5000</v>
      </c>
      <c r="I41" s="74">
        <v>0</v>
      </c>
      <c r="J41" s="60">
        <v>0</v>
      </c>
      <c r="K41" s="61">
        <f t="shared" si="4"/>
        <v>10000</v>
      </c>
      <c r="L41" s="62"/>
      <c r="M41" s="63"/>
      <c r="N41" s="64"/>
      <c r="O41" s="45">
        <f t="shared" si="5"/>
        <v>5000</v>
      </c>
      <c r="P41" s="45">
        <f t="shared" si="5"/>
        <v>0</v>
      </c>
      <c r="Q41" s="45">
        <f t="shared" si="5"/>
        <v>0</v>
      </c>
      <c r="R41" s="45">
        <f t="shared" si="5"/>
        <v>0</v>
      </c>
      <c r="S41" s="45">
        <f t="shared" si="2"/>
        <v>5000</v>
      </c>
      <c r="T41" s="45">
        <f t="shared" si="2"/>
        <v>0</v>
      </c>
      <c r="U41" s="45">
        <f t="shared" si="2"/>
        <v>0</v>
      </c>
      <c r="V41" s="42">
        <f t="shared" si="6"/>
        <v>10000</v>
      </c>
      <c r="W41" s="70"/>
    </row>
    <row r="42" spans="1:23" ht="12.75">
      <c r="A42" s="4" t="s">
        <v>171</v>
      </c>
      <c r="B42" s="72" t="s">
        <v>19</v>
      </c>
      <c r="C42" s="72" t="s">
        <v>4</v>
      </c>
      <c r="D42" s="74">
        <v>1500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60">
        <v>0</v>
      </c>
      <c r="K42" s="61">
        <f t="shared" si="4"/>
        <v>1500</v>
      </c>
      <c r="L42" s="62"/>
      <c r="M42" s="63"/>
      <c r="N42" s="64"/>
      <c r="O42" s="45">
        <f t="shared" si="5"/>
        <v>1500</v>
      </c>
      <c r="P42" s="45">
        <f t="shared" si="5"/>
        <v>0</v>
      </c>
      <c r="Q42" s="45">
        <f t="shared" si="5"/>
        <v>0</v>
      </c>
      <c r="R42" s="45">
        <f t="shared" si="5"/>
        <v>0</v>
      </c>
      <c r="S42" s="45">
        <f t="shared" si="5"/>
        <v>0</v>
      </c>
      <c r="T42" s="45">
        <f t="shared" si="5"/>
        <v>0</v>
      </c>
      <c r="U42" s="45">
        <f t="shared" si="5"/>
        <v>0</v>
      </c>
      <c r="V42" s="42">
        <f t="shared" si="6"/>
        <v>1500</v>
      </c>
      <c r="W42" s="70"/>
    </row>
    <row r="43" spans="1:23" ht="12.75">
      <c r="A43" s="4" t="s">
        <v>164</v>
      </c>
      <c r="B43" s="72" t="s">
        <v>311</v>
      </c>
      <c r="C43" s="72" t="s">
        <v>3</v>
      </c>
      <c r="D43" s="74">
        <v>7500</v>
      </c>
      <c r="E43" s="74">
        <v>0</v>
      </c>
      <c r="F43" s="74">
        <v>0</v>
      </c>
      <c r="G43" s="74">
        <v>0</v>
      </c>
      <c r="H43" s="74">
        <v>13000</v>
      </c>
      <c r="I43" s="74">
        <v>0</v>
      </c>
      <c r="J43" s="60">
        <v>0</v>
      </c>
      <c r="K43" s="61">
        <f t="shared" si="4"/>
        <v>20500</v>
      </c>
      <c r="L43" s="62"/>
      <c r="M43" s="63"/>
      <c r="N43" s="64"/>
      <c r="O43" s="45">
        <f t="shared" si="5"/>
        <v>7500</v>
      </c>
      <c r="P43" s="45">
        <f t="shared" si="5"/>
        <v>0</v>
      </c>
      <c r="Q43" s="45">
        <f t="shared" si="5"/>
        <v>0</v>
      </c>
      <c r="R43" s="45">
        <f t="shared" si="5"/>
        <v>0</v>
      </c>
      <c r="S43" s="45">
        <f t="shared" si="5"/>
        <v>13000</v>
      </c>
      <c r="T43" s="45">
        <f t="shared" si="5"/>
        <v>0</v>
      </c>
      <c r="U43" s="45">
        <f t="shared" si="5"/>
        <v>0</v>
      </c>
      <c r="V43" s="42">
        <f t="shared" si="6"/>
        <v>20500</v>
      </c>
      <c r="W43" s="70"/>
    </row>
    <row r="44" spans="1:23" ht="12.75">
      <c r="A44" s="4" t="s">
        <v>165</v>
      </c>
      <c r="B44" s="72" t="s">
        <v>336</v>
      </c>
      <c r="C44" s="72" t="s">
        <v>6</v>
      </c>
      <c r="D44" s="74">
        <v>8000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60">
        <v>0</v>
      </c>
      <c r="K44" s="61">
        <f t="shared" si="4"/>
        <v>8000</v>
      </c>
      <c r="L44" s="62"/>
      <c r="M44" s="63"/>
      <c r="N44" s="64"/>
      <c r="O44" s="45">
        <f t="shared" si="5"/>
        <v>8000</v>
      </c>
      <c r="P44" s="45">
        <f t="shared" si="5"/>
        <v>0</v>
      </c>
      <c r="Q44" s="45">
        <f t="shared" si="5"/>
        <v>0</v>
      </c>
      <c r="R44" s="45">
        <f t="shared" si="5"/>
        <v>0</v>
      </c>
      <c r="S44" s="45">
        <f t="shared" si="5"/>
        <v>0</v>
      </c>
      <c r="T44" s="45">
        <f t="shared" si="5"/>
        <v>0</v>
      </c>
      <c r="U44" s="45">
        <f t="shared" si="5"/>
        <v>0</v>
      </c>
      <c r="V44" s="42">
        <f t="shared" si="6"/>
        <v>8000</v>
      </c>
      <c r="W44" s="70"/>
    </row>
    <row r="45" spans="1:23" ht="12.75">
      <c r="A45" s="4" t="s">
        <v>289</v>
      </c>
      <c r="B45" s="72" t="s">
        <v>322</v>
      </c>
      <c r="C45" s="72" t="s">
        <v>298</v>
      </c>
      <c r="D45" s="74">
        <v>0</v>
      </c>
      <c r="E45" s="74">
        <v>0</v>
      </c>
      <c r="F45" s="74">
        <v>0</v>
      </c>
      <c r="G45" s="74">
        <v>0</v>
      </c>
      <c r="H45" s="74">
        <f>12500+12500+21000</f>
        <v>46000</v>
      </c>
      <c r="I45" s="74">
        <v>0</v>
      </c>
      <c r="J45" s="60">
        <v>0</v>
      </c>
      <c r="K45" s="61">
        <f t="shared" si="4"/>
        <v>46000</v>
      </c>
      <c r="L45" s="62"/>
      <c r="M45" s="63"/>
      <c r="N45" s="64"/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46000</v>
      </c>
      <c r="T45" s="45">
        <f t="shared" si="5"/>
        <v>0</v>
      </c>
      <c r="U45" s="45">
        <f t="shared" si="5"/>
        <v>0</v>
      </c>
      <c r="V45" s="42">
        <f t="shared" si="6"/>
        <v>46000</v>
      </c>
      <c r="W45" s="70"/>
    </row>
    <row r="46" spans="1:23" ht="12.75">
      <c r="A46" s="4" t="s">
        <v>166</v>
      </c>
      <c r="B46" s="72" t="s">
        <v>20</v>
      </c>
      <c r="C46" s="72" t="s">
        <v>9</v>
      </c>
      <c r="D46" s="74">
        <v>10000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60">
        <v>0</v>
      </c>
      <c r="K46" s="61">
        <f t="shared" si="4"/>
        <v>10000</v>
      </c>
      <c r="L46" s="62"/>
      <c r="M46" s="63"/>
      <c r="N46" s="64"/>
      <c r="O46" s="45">
        <f t="shared" si="5"/>
        <v>10000</v>
      </c>
      <c r="P46" s="45">
        <f t="shared" si="5"/>
        <v>0</v>
      </c>
      <c r="Q46" s="45">
        <f t="shared" si="5"/>
        <v>0</v>
      </c>
      <c r="R46" s="45">
        <f t="shared" si="5"/>
        <v>0</v>
      </c>
      <c r="S46" s="45">
        <f t="shared" si="5"/>
        <v>0</v>
      </c>
      <c r="T46" s="45">
        <f t="shared" si="5"/>
        <v>0</v>
      </c>
      <c r="U46" s="45">
        <f t="shared" si="5"/>
        <v>0</v>
      </c>
      <c r="V46" s="42">
        <f t="shared" si="6"/>
        <v>10000</v>
      </c>
      <c r="W46" s="70"/>
    </row>
    <row r="47" spans="1:23" ht="12.75">
      <c r="A47" s="4" t="s">
        <v>176</v>
      </c>
      <c r="B47" s="72" t="s">
        <v>110</v>
      </c>
      <c r="C47" s="72" t="s">
        <v>68</v>
      </c>
      <c r="D47" s="74">
        <f>5000+5000+15000</f>
        <v>25000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60">
        <v>0</v>
      </c>
      <c r="K47" s="61">
        <f t="shared" si="4"/>
        <v>25000</v>
      </c>
      <c r="L47" s="62"/>
      <c r="M47" s="63"/>
      <c r="N47" s="64"/>
      <c r="O47" s="45">
        <f t="shared" si="5"/>
        <v>25000</v>
      </c>
      <c r="P47" s="45">
        <f t="shared" si="5"/>
        <v>0</v>
      </c>
      <c r="Q47" s="45">
        <f t="shared" si="5"/>
        <v>0</v>
      </c>
      <c r="R47" s="45">
        <f t="shared" si="5"/>
        <v>0</v>
      </c>
      <c r="S47" s="45">
        <f t="shared" si="5"/>
        <v>0</v>
      </c>
      <c r="T47" s="45">
        <f t="shared" si="5"/>
        <v>0</v>
      </c>
      <c r="U47" s="45">
        <f t="shared" si="5"/>
        <v>0</v>
      </c>
      <c r="V47" s="42">
        <f t="shared" si="6"/>
        <v>25000</v>
      </c>
      <c r="W47" s="70"/>
    </row>
    <row r="48" spans="1:23" ht="12.75">
      <c r="A48" s="4" t="s">
        <v>179</v>
      </c>
      <c r="B48" s="72" t="s">
        <v>337</v>
      </c>
      <c r="C48" s="72" t="s">
        <v>4</v>
      </c>
      <c r="D48" s="74">
        <v>0</v>
      </c>
      <c r="E48" s="74">
        <v>0</v>
      </c>
      <c r="F48" s="74">
        <v>0</v>
      </c>
      <c r="G48" s="74">
        <v>0</v>
      </c>
      <c r="H48" s="74">
        <v>10000</v>
      </c>
      <c r="I48" s="74">
        <v>0</v>
      </c>
      <c r="J48" s="60">
        <v>0</v>
      </c>
      <c r="K48" s="61">
        <f t="shared" si="4"/>
        <v>10000</v>
      </c>
      <c r="L48" s="62"/>
      <c r="M48" s="63"/>
      <c r="N48" s="64"/>
      <c r="O48" s="45">
        <f t="shared" si="5"/>
        <v>0</v>
      </c>
      <c r="P48" s="45">
        <f t="shared" si="5"/>
        <v>0</v>
      </c>
      <c r="Q48" s="45">
        <f t="shared" si="5"/>
        <v>0</v>
      </c>
      <c r="R48" s="45">
        <f t="shared" si="5"/>
        <v>0</v>
      </c>
      <c r="S48" s="45">
        <f t="shared" si="5"/>
        <v>10000</v>
      </c>
      <c r="T48" s="45">
        <f t="shared" si="5"/>
        <v>0</v>
      </c>
      <c r="U48" s="45">
        <f t="shared" si="5"/>
        <v>0</v>
      </c>
      <c r="V48" s="42">
        <f t="shared" si="6"/>
        <v>10000</v>
      </c>
      <c r="W48" s="70"/>
    </row>
    <row r="49" spans="1:23" ht="12.75">
      <c r="A49" s="4" t="s">
        <v>60</v>
      </c>
      <c r="B49" s="72" t="s">
        <v>21</v>
      </c>
      <c r="C49" s="72" t="s">
        <v>298</v>
      </c>
      <c r="D49" s="74">
        <f>3500+25000</f>
        <v>28500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60">
        <v>0</v>
      </c>
      <c r="K49" s="61">
        <f t="shared" si="4"/>
        <v>28500</v>
      </c>
      <c r="L49" s="62"/>
      <c r="M49" s="63"/>
      <c r="N49" s="64"/>
      <c r="O49" s="45">
        <f t="shared" si="5"/>
        <v>28500</v>
      </c>
      <c r="P49" s="45">
        <f t="shared" si="5"/>
        <v>0</v>
      </c>
      <c r="Q49" s="45">
        <f t="shared" si="5"/>
        <v>0</v>
      </c>
      <c r="R49" s="45">
        <f t="shared" si="5"/>
        <v>0</v>
      </c>
      <c r="S49" s="45">
        <f t="shared" si="5"/>
        <v>0</v>
      </c>
      <c r="T49" s="45">
        <f t="shared" si="5"/>
        <v>0</v>
      </c>
      <c r="U49" s="45">
        <f t="shared" si="5"/>
        <v>0</v>
      </c>
      <c r="V49" s="42">
        <f t="shared" si="6"/>
        <v>28500</v>
      </c>
      <c r="W49" s="70"/>
    </row>
    <row r="50" spans="1:23" ht="12.75">
      <c r="A50" s="4" t="s">
        <v>167</v>
      </c>
      <c r="B50" s="72" t="s">
        <v>140</v>
      </c>
      <c r="C50" s="72" t="s">
        <v>298</v>
      </c>
      <c r="D50" s="74">
        <v>0</v>
      </c>
      <c r="E50" s="74">
        <v>0</v>
      </c>
      <c r="F50" s="74">
        <v>0</v>
      </c>
      <c r="G50" s="74">
        <v>0</v>
      </c>
      <c r="H50" s="74">
        <f>15000+20000+10000</f>
        <v>45000</v>
      </c>
      <c r="I50" s="74">
        <v>0</v>
      </c>
      <c r="J50" s="60">
        <v>0</v>
      </c>
      <c r="K50" s="61">
        <f t="shared" si="4"/>
        <v>45000</v>
      </c>
      <c r="L50" s="62"/>
      <c r="M50" s="63"/>
      <c r="N50" s="64"/>
      <c r="O50" s="45">
        <f t="shared" si="5"/>
        <v>0</v>
      </c>
      <c r="P50" s="45">
        <f t="shared" si="5"/>
        <v>0</v>
      </c>
      <c r="Q50" s="45">
        <f t="shared" si="5"/>
        <v>0</v>
      </c>
      <c r="R50" s="45">
        <f t="shared" si="5"/>
        <v>0</v>
      </c>
      <c r="S50" s="45">
        <f t="shared" si="5"/>
        <v>45000</v>
      </c>
      <c r="T50" s="45">
        <f t="shared" si="5"/>
        <v>0</v>
      </c>
      <c r="U50" s="45">
        <f t="shared" si="5"/>
        <v>0</v>
      </c>
      <c r="V50" s="42">
        <f t="shared" si="6"/>
        <v>45000</v>
      </c>
      <c r="W50" s="70"/>
    </row>
    <row r="51" spans="1:23" ht="12.75">
      <c r="A51" s="4" t="s">
        <v>275</v>
      </c>
      <c r="B51" s="72" t="s">
        <v>338</v>
      </c>
      <c r="C51" s="72" t="s">
        <v>5</v>
      </c>
      <c r="D51" s="74">
        <v>0</v>
      </c>
      <c r="E51" s="74">
        <v>30000</v>
      </c>
      <c r="F51" s="74">
        <v>0</v>
      </c>
      <c r="G51" s="74">
        <v>0</v>
      </c>
      <c r="H51" s="74">
        <v>0</v>
      </c>
      <c r="I51" s="74">
        <v>0</v>
      </c>
      <c r="J51" s="25">
        <v>0</v>
      </c>
      <c r="K51" s="26">
        <f t="shared" si="4"/>
        <v>30000</v>
      </c>
      <c r="L51" s="6"/>
      <c r="M51" s="31"/>
      <c r="N51" s="30"/>
      <c r="O51" s="45">
        <f t="shared" si="5"/>
        <v>0</v>
      </c>
      <c r="P51" s="45">
        <f t="shared" si="5"/>
        <v>30000</v>
      </c>
      <c r="Q51" s="45">
        <f t="shared" si="5"/>
        <v>0</v>
      </c>
      <c r="R51" s="45">
        <f>ROUND(G51,0)</f>
        <v>0</v>
      </c>
      <c r="S51" s="45">
        <f>ROUND(H51,0)</f>
        <v>0</v>
      </c>
      <c r="T51" s="45">
        <f>ROUND(I51,0)</f>
        <v>0</v>
      </c>
      <c r="U51" s="45">
        <f>ROUND(J51,0)</f>
        <v>0</v>
      </c>
      <c r="V51" s="42">
        <f t="shared" si="6"/>
        <v>30000</v>
      </c>
      <c r="W51" s="70"/>
    </row>
    <row r="52" spans="1:23" ht="12.75">
      <c r="A52" s="4" t="s">
        <v>186</v>
      </c>
      <c r="B52" s="72" t="s">
        <v>75</v>
      </c>
      <c r="C52" s="72" t="s">
        <v>3</v>
      </c>
      <c r="D52" s="74">
        <v>1250</v>
      </c>
      <c r="E52" s="74">
        <v>0</v>
      </c>
      <c r="F52" s="74">
        <v>0</v>
      </c>
      <c r="G52" s="74">
        <v>568</v>
      </c>
      <c r="H52" s="74">
        <f>15000+10000+20000</f>
        <v>45000</v>
      </c>
      <c r="I52" s="74">
        <v>0</v>
      </c>
      <c r="J52" s="60">
        <v>0</v>
      </c>
      <c r="K52" s="61">
        <f t="shared" si="4"/>
        <v>46818</v>
      </c>
      <c r="L52" s="62"/>
      <c r="M52" s="63"/>
      <c r="N52" s="64"/>
      <c r="O52" s="45">
        <f t="shared" si="5"/>
        <v>1250</v>
      </c>
      <c r="P52" s="45">
        <f t="shared" si="5"/>
        <v>0</v>
      </c>
      <c r="Q52" s="45">
        <f t="shared" si="5"/>
        <v>0</v>
      </c>
      <c r="R52" s="45">
        <f t="shared" si="5"/>
        <v>568</v>
      </c>
      <c r="S52" s="45">
        <f t="shared" si="5"/>
        <v>45000</v>
      </c>
      <c r="T52" s="45">
        <f t="shared" si="5"/>
        <v>0</v>
      </c>
      <c r="U52" s="45">
        <f t="shared" si="5"/>
        <v>0</v>
      </c>
      <c r="V52" s="42">
        <f t="shared" si="6"/>
        <v>46818</v>
      </c>
      <c r="W52" s="70"/>
    </row>
    <row r="53" spans="2:23" ht="12.75">
      <c r="B53" s="1" t="s">
        <v>143</v>
      </c>
      <c r="C53" s="1" t="s">
        <v>6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204789</v>
      </c>
      <c r="J53" s="60">
        <v>0</v>
      </c>
      <c r="K53" s="61">
        <f t="shared" si="4"/>
        <v>204789</v>
      </c>
      <c r="L53" s="62"/>
      <c r="M53" s="63"/>
      <c r="N53" s="64"/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77">
        <v>204789</v>
      </c>
      <c r="U53" s="42">
        <v>0</v>
      </c>
      <c r="V53" s="42">
        <f t="shared" si="6"/>
        <v>204789</v>
      </c>
      <c r="W53" s="70"/>
    </row>
    <row r="54" spans="2:23" ht="12.75">
      <c r="B54" s="72" t="s">
        <v>69</v>
      </c>
      <c r="C54" s="72" t="s">
        <v>9</v>
      </c>
      <c r="D54" s="74">
        <v>14300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61">
        <f t="shared" si="4"/>
        <v>14300</v>
      </c>
      <c r="L54" s="6"/>
      <c r="M54" s="31"/>
      <c r="N54" s="64"/>
      <c r="O54" s="42">
        <v>14300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f t="shared" si="6"/>
        <v>14300</v>
      </c>
      <c r="W54" s="70"/>
    </row>
    <row r="55" spans="1:23" ht="12.75">
      <c r="A55" s="4" t="s">
        <v>170</v>
      </c>
      <c r="B55" s="72" t="s">
        <v>127</v>
      </c>
      <c r="C55" s="72" t="s">
        <v>7</v>
      </c>
      <c r="D55" s="74">
        <v>0</v>
      </c>
      <c r="E55" s="74">
        <v>0</v>
      </c>
      <c r="F55" s="74">
        <v>0</v>
      </c>
      <c r="G55" s="74">
        <v>0</v>
      </c>
      <c r="H55" s="74">
        <f>30000+21000+51500</f>
        <v>102500</v>
      </c>
      <c r="I55" s="74">
        <v>0</v>
      </c>
      <c r="J55" s="74">
        <v>0</v>
      </c>
      <c r="K55" s="61">
        <f t="shared" si="4"/>
        <v>102500</v>
      </c>
      <c r="L55" s="62"/>
      <c r="M55" s="63"/>
      <c r="N55" s="64"/>
      <c r="O55" s="42">
        <v>0</v>
      </c>
      <c r="P55" s="42">
        <v>0</v>
      </c>
      <c r="Q55" s="42">
        <v>0</v>
      </c>
      <c r="R55" s="42">
        <v>0</v>
      </c>
      <c r="S55" s="42">
        <v>102500</v>
      </c>
      <c r="T55" s="42">
        <v>0</v>
      </c>
      <c r="U55" s="42">
        <v>0</v>
      </c>
      <c r="V55" s="42">
        <f t="shared" si="6"/>
        <v>102500</v>
      </c>
      <c r="W55" s="70"/>
    </row>
    <row r="56" spans="1:23" ht="12.75">
      <c r="A56" s="4" t="s">
        <v>172</v>
      </c>
      <c r="B56" s="72" t="s">
        <v>339</v>
      </c>
      <c r="C56" s="72" t="s">
        <v>9</v>
      </c>
      <c r="D56" s="74">
        <v>4750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61">
        <f t="shared" si="4"/>
        <v>4750</v>
      </c>
      <c r="L56" s="62"/>
      <c r="M56" s="63"/>
      <c r="N56" s="64"/>
      <c r="O56" s="42">
        <v>4750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f t="shared" si="6"/>
        <v>4750</v>
      </c>
      <c r="W56" s="70"/>
    </row>
    <row r="57" spans="1:23" ht="12.75">
      <c r="A57" s="4" t="s">
        <v>187</v>
      </c>
      <c r="B57" s="72" t="s">
        <v>315</v>
      </c>
      <c r="C57" s="72" t="s">
        <v>5</v>
      </c>
      <c r="D57" s="74">
        <f>5000+15000+20000</f>
        <v>40000</v>
      </c>
      <c r="E57" s="74">
        <v>0</v>
      </c>
      <c r="F57" s="74">
        <v>0</v>
      </c>
      <c r="G57" s="74">
        <v>0</v>
      </c>
      <c r="H57" s="74">
        <f>20500+29500</f>
        <v>50000</v>
      </c>
      <c r="I57" s="74">
        <v>0</v>
      </c>
      <c r="J57" s="74">
        <v>0</v>
      </c>
      <c r="K57" s="61">
        <f t="shared" si="4"/>
        <v>90000</v>
      </c>
      <c r="L57" s="62"/>
      <c r="M57" s="63"/>
      <c r="N57" s="64"/>
      <c r="O57" s="42">
        <v>40000</v>
      </c>
      <c r="P57" s="42">
        <v>0</v>
      </c>
      <c r="Q57" s="42">
        <v>0</v>
      </c>
      <c r="R57" s="42">
        <v>0</v>
      </c>
      <c r="S57" s="42">
        <v>50000</v>
      </c>
      <c r="T57" s="42">
        <v>0</v>
      </c>
      <c r="U57" s="42">
        <v>0</v>
      </c>
      <c r="V57" s="42">
        <f t="shared" si="6"/>
        <v>90000</v>
      </c>
      <c r="W57" s="70"/>
    </row>
    <row r="58" spans="1:23" ht="12.75">
      <c r="A58" s="4" t="s">
        <v>188</v>
      </c>
      <c r="B58" s="72" t="s">
        <v>96</v>
      </c>
      <c r="C58" s="72" t="s">
        <v>7</v>
      </c>
      <c r="D58" s="74">
        <v>3500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61">
        <f t="shared" si="4"/>
        <v>3500</v>
      </c>
      <c r="L58" s="62"/>
      <c r="M58" s="63"/>
      <c r="N58" s="64"/>
      <c r="O58" s="42">
        <v>3500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f t="shared" si="6"/>
        <v>3500</v>
      </c>
      <c r="W58" s="70"/>
    </row>
    <row r="59" spans="1:23" ht="12.75">
      <c r="A59" s="4" t="s">
        <v>290</v>
      </c>
      <c r="B59" s="72" t="s">
        <v>340</v>
      </c>
      <c r="C59" s="72" t="s">
        <v>4</v>
      </c>
      <c r="D59" s="74">
        <f>1500+10000+2000+2000+1500+6100</f>
        <v>23100</v>
      </c>
      <c r="E59" s="74">
        <v>75000</v>
      </c>
      <c r="F59" s="74">
        <v>0</v>
      </c>
      <c r="G59" s="74">
        <v>0</v>
      </c>
      <c r="H59" s="74">
        <f>9000+11000</f>
        <v>20000</v>
      </c>
      <c r="I59" s="74">
        <v>0</v>
      </c>
      <c r="J59" s="74">
        <v>0</v>
      </c>
      <c r="K59" s="61">
        <f t="shared" si="4"/>
        <v>118100</v>
      </c>
      <c r="L59" s="62"/>
      <c r="M59" s="63"/>
      <c r="N59" s="64"/>
      <c r="O59" s="42">
        <v>23100</v>
      </c>
      <c r="P59" s="42">
        <v>75000</v>
      </c>
      <c r="Q59" s="42">
        <v>0</v>
      </c>
      <c r="R59" s="42">
        <v>0</v>
      </c>
      <c r="S59" s="42">
        <v>20000</v>
      </c>
      <c r="T59" s="42">
        <v>0</v>
      </c>
      <c r="U59" s="42">
        <v>0</v>
      </c>
      <c r="V59" s="42">
        <f t="shared" si="6"/>
        <v>118100</v>
      </c>
      <c r="W59" s="70"/>
    </row>
    <row r="60" spans="1:23" ht="12.75">
      <c r="A60" s="4" t="s">
        <v>190</v>
      </c>
      <c r="B60" s="72" t="s">
        <v>99</v>
      </c>
      <c r="C60" s="72" t="s">
        <v>47</v>
      </c>
      <c r="D60" s="74">
        <f>1000+1000+500+2000+5500+1500</f>
        <v>11500</v>
      </c>
      <c r="E60" s="74">
        <v>0</v>
      </c>
      <c r="F60" s="74">
        <v>0</v>
      </c>
      <c r="G60" s="74">
        <v>0</v>
      </c>
      <c r="H60" s="74">
        <f>5000+5000</f>
        <v>10000</v>
      </c>
      <c r="I60" s="74">
        <v>0</v>
      </c>
      <c r="J60" s="74">
        <v>0</v>
      </c>
      <c r="K60" s="61">
        <f t="shared" si="4"/>
        <v>21500</v>
      </c>
      <c r="L60" s="62"/>
      <c r="M60" s="63"/>
      <c r="N60" s="64"/>
      <c r="O60" s="42">
        <v>11500</v>
      </c>
      <c r="P60" s="42">
        <v>0</v>
      </c>
      <c r="Q60" s="42">
        <v>0</v>
      </c>
      <c r="R60" s="42">
        <v>0</v>
      </c>
      <c r="S60" s="42">
        <v>10000</v>
      </c>
      <c r="T60" s="42">
        <v>0</v>
      </c>
      <c r="U60" s="42">
        <v>0</v>
      </c>
      <c r="V60" s="42">
        <f t="shared" si="6"/>
        <v>21500</v>
      </c>
      <c r="W60" s="70"/>
    </row>
    <row r="61" spans="1:23" ht="12.75">
      <c r="A61" s="4" t="s">
        <v>173</v>
      </c>
      <c r="B61" s="72" t="s">
        <v>138</v>
      </c>
      <c r="C61" s="72" t="s">
        <v>4</v>
      </c>
      <c r="D61" s="74">
        <v>797.86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61">
        <f t="shared" si="4"/>
        <v>797.86</v>
      </c>
      <c r="L61" s="62"/>
      <c r="M61" s="63"/>
      <c r="N61" s="64"/>
      <c r="O61" s="42">
        <v>798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f t="shared" si="6"/>
        <v>798</v>
      </c>
      <c r="W61" s="70"/>
    </row>
    <row r="62" spans="1:23" ht="12.75">
      <c r="A62" s="4" t="s">
        <v>194</v>
      </c>
      <c r="B62" s="72" t="s">
        <v>85</v>
      </c>
      <c r="C62" s="72" t="s">
        <v>47</v>
      </c>
      <c r="D62" s="74">
        <v>10000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61">
        <f t="shared" si="4"/>
        <v>10000</v>
      </c>
      <c r="L62" s="62"/>
      <c r="M62" s="63"/>
      <c r="N62" s="64"/>
      <c r="O62" s="42">
        <v>10000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f t="shared" si="6"/>
        <v>10000</v>
      </c>
      <c r="W62" s="70"/>
    </row>
    <row r="63" spans="1:23" ht="12.75">
      <c r="A63" s="4" t="s">
        <v>174</v>
      </c>
      <c r="B63" s="72" t="s">
        <v>125</v>
      </c>
      <c r="C63" s="72" t="s">
        <v>90</v>
      </c>
      <c r="D63" s="74">
        <f>2000+1500</f>
        <v>3500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61">
        <f t="shared" si="4"/>
        <v>3500</v>
      </c>
      <c r="L63" s="62"/>
      <c r="M63" s="63"/>
      <c r="N63" s="64"/>
      <c r="O63" s="42">
        <v>3500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f t="shared" si="6"/>
        <v>3500</v>
      </c>
      <c r="W63" s="70"/>
    </row>
    <row r="64" spans="1:23" ht="12.75">
      <c r="A64" s="4" t="s">
        <v>196</v>
      </c>
      <c r="B64" s="72" t="s">
        <v>22</v>
      </c>
      <c r="C64" s="72" t="s">
        <v>3</v>
      </c>
      <c r="D64" s="74">
        <v>7000</v>
      </c>
      <c r="E64" s="74">
        <v>0</v>
      </c>
      <c r="F64" s="74">
        <v>1132.5349999999999</v>
      </c>
      <c r="G64" s="74">
        <v>0</v>
      </c>
      <c r="H64" s="74">
        <f>7500+7500+17000+17000</f>
        <v>49000</v>
      </c>
      <c r="I64" s="74">
        <v>0</v>
      </c>
      <c r="J64" s="74">
        <v>0</v>
      </c>
      <c r="K64" s="61">
        <f t="shared" si="4"/>
        <v>57132.535</v>
      </c>
      <c r="L64" s="62"/>
      <c r="M64" s="63"/>
      <c r="N64" s="64"/>
      <c r="O64" s="42">
        <v>7000</v>
      </c>
      <c r="P64" s="42">
        <v>0</v>
      </c>
      <c r="Q64" s="42">
        <v>1133</v>
      </c>
      <c r="R64" s="42">
        <v>0</v>
      </c>
      <c r="S64" s="42">
        <v>49000</v>
      </c>
      <c r="T64" s="42">
        <v>0</v>
      </c>
      <c r="U64" s="42">
        <v>0</v>
      </c>
      <c r="V64" s="42">
        <f t="shared" si="6"/>
        <v>57133</v>
      </c>
      <c r="W64" s="70"/>
    </row>
    <row r="65" spans="1:23" ht="12.75">
      <c r="A65" s="4" t="s">
        <v>189</v>
      </c>
      <c r="B65" s="72" t="s">
        <v>144</v>
      </c>
      <c r="C65" s="72" t="s">
        <v>298</v>
      </c>
      <c r="D65" s="74">
        <f>30000</f>
        <v>30000</v>
      </c>
      <c r="E65" s="74">
        <v>50000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61">
        <f t="shared" si="4"/>
        <v>80000</v>
      </c>
      <c r="L65" s="62"/>
      <c r="M65" s="63"/>
      <c r="N65" s="64"/>
      <c r="O65" s="42">
        <v>30000</v>
      </c>
      <c r="P65" s="42">
        <v>50000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f t="shared" si="6"/>
        <v>80000</v>
      </c>
      <c r="W65" s="70"/>
    </row>
    <row r="66" spans="1:23" ht="12.75">
      <c r="A66" s="4" t="s">
        <v>177</v>
      </c>
      <c r="B66" s="72" t="s">
        <v>15</v>
      </c>
      <c r="C66" s="72" t="s">
        <v>46</v>
      </c>
      <c r="D66" s="74">
        <f>44000</f>
        <v>44000</v>
      </c>
      <c r="E66" s="74">
        <v>0</v>
      </c>
      <c r="F66" s="74">
        <v>3154.6949999999997</v>
      </c>
      <c r="G66" s="74">
        <v>0</v>
      </c>
      <c r="H66" s="74">
        <f>41000+20000+78000</f>
        <v>139000</v>
      </c>
      <c r="I66" s="74">
        <v>0</v>
      </c>
      <c r="J66" s="74">
        <v>0</v>
      </c>
      <c r="K66" s="61">
        <f t="shared" si="4"/>
        <v>186154.695</v>
      </c>
      <c r="L66" s="62"/>
      <c r="M66" s="63"/>
      <c r="N66" s="64"/>
      <c r="O66" s="42">
        <v>44000</v>
      </c>
      <c r="P66" s="42">
        <v>0</v>
      </c>
      <c r="Q66" s="42">
        <v>3155</v>
      </c>
      <c r="R66" s="42">
        <v>0</v>
      </c>
      <c r="S66" s="42">
        <v>139000</v>
      </c>
      <c r="T66" s="42">
        <v>0</v>
      </c>
      <c r="U66" s="42">
        <v>0</v>
      </c>
      <c r="V66" s="42">
        <f t="shared" si="6"/>
        <v>186155</v>
      </c>
      <c r="W66" s="70"/>
    </row>
    <row r="67" spans="1:23" ht="12.75">
      <c r="A67" s="4" t="s">
        <v>178</v>
      </c>
      <c r="B67" s="72" t="s">
        <v>111</v>
      </c>
      <c r="C67" s="72" t="s">
        <v>9</v>
      </c>
      <c r="D67" s="74">
        <v>20000</v>
      </c>
      <c r="E67" s="74">
        <v>0</v>
      </c>
      <c r="F67" s="74">
        <v>0</v>
      </c>
      <c r="G67" s="74">
        <v>0</v>
      </c>
      <c r="H67" s="74">
        <v>10700</v>
      </c>
      <c r="I67" s="74">
        <v>0</v>
      </c>
      <c r="J67" s="74">
        <v>0</v>
      </c>
      <c r="K67" s="61">
        <f t="shared" si="4"/>
        <v>30700</v>
      </c>
      <c r="L67" s="62"/>
      <c r="M67" s="63"/>
      <c r="N67" s="64"/>
      <c r="O67" s="42">
        <v>20000</v>
      </c>
      <c r="P67" s="42">
        <v>0</v>
      </c>
      <c r="Q67" s="42">
        <v>0</v>
      </c>
      <c r="R67" s="42">
        <v>0</v>
      </c>
      <c r="S67" s="42">
        <v>10700</v>
      </c>
      <c r="T67" s="42">
        <v>0</v>
      </c>
      <c r="U67" s="42">
        <v>0</v>
      </c>
      <c r="V67" s="42">
        <f t="shared" si="6"/>
        <v>30700</v>
      </c>
      <c r="W67" s="70"/>
    </row>
    <row r="68" spans="1:23" ht="12.75">
      <c r="A68" s="4" t="s">
        <v>180</v>
      </c>
      <c r="B68" s="72" t="s">
        <v>316</v>
      </c>
      <c r="C68" s="72" t="s">
        <v>351</v>
      </c>
      <c r="D68" s="74">
        <f>3800+5000+6000</f>
        <v>14800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61">
        <f t="shared" si="4"/>
        <v>14800</v>
      </c>
      <c r="L68" s="62"/>
      <c r="M68" s="63"/>
      <c r="N68" s="64"/>
      <c r="O68" s="42">
        <v>14800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f t="shared" si="6"/>
        <v>14800</v>
      </c>
      <c r="W68" s="70"/>
    </row>
    <row r="69" spans="1:23" ht="12.75">
      <c r="A69" s="4" t="s">
        <v>198</v>
      </c>
      <c r="B69" s="72" t="s">
        <v>112</v>
      </c>
      <c r="C69" s="72" t="s">
        <v>298</v>
      </c>
      <c r="D69" s="74">
        <v>0</v>
      </c>
      <c r="E69" s="74">
        <v>0</v>
      </c>
      <c r="F69" s="74">
        <v>0</v>
      </c>
      <c r="G69" s="74">
        <v>0</v>
      </c>
      <c r="H69" s="74">
        <v>10000</v>
      </c>
      <c r="I69" s="74">
        <v>0</v>
      </c>
      <c r="J69" s="74">
        <v>0</v>
      </c>
      <c r="K69" s="61">
        <f t="shared" si="4"/>
        <v>10000</v>
      </c>
      <c r="L69" s="62"/>
      <c r="M69" s="63"/>
      <c r="N69" s="67"/>
      <c r="O69" s="42">
        <v>0</v>
      </c>
      <c r="P69" s="42">
        <v>0</v>
      </c>
      <c r="Q69" s="42">
        <v>0</v>
      </c>
      <c r="R69" s="42">
        <v>0</v>
      </c>
      <c r="S69" s="42">
        <v>10000</v>
      </c>
      <c r="T69" s="42">
        <v>0</v>
      </c>
      <c r="U69" s="42">
        <v>0</v>
      </c>
      <c r="V69" s="42">
        <f t="shared" si="6"/>
        <v>10000</v>
      </c>
      <c r="W69" s="70"/>
    </row>
    <row r="70" spans="1:23" ht="12.75">
      <c r="A70" s="4" t="s">
        <v>220</v>
      </c>
      <c r="B70" s="72" t="s">
        <v>23</v>
      </c>
      <c r="C70" s="72" t="s">
        <v>7</v>
      </c>
      <c r="D70" s="74">
        <f>59000</f>
        <v>59000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61">
        <f t="shared" si="4"/>
        <v>59000</v>
      </c>
      <c r="L70" s="62"/>
      <c r="M70" s="63"/>
      <c r="N70" s="64"/>
      <c r="O70" s="42">
        <v>59000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f t="shared" si="6"/>
        <v>59000</v>
      </c>
      <c r="W70" s="70"/>
    </row>
    <row r="71" spans="1:23" ht="12.75">
      <c r="A71" s="4" t="s">
        <v>181</v>
      </c>
      <c r="B71" s="72" t="s">
        <v>24</v>
      </c>
      <c r="C71" s="72" t="s">
        <v>3</v>
      </c>
      <c r="D71" s="74">
        <v>3000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61">
        <f t="shared" si="4"/>
        <v>3000</v>
      </c>
      <c r="L71" s="62"/>
      <c r="M71" s="63"/>
      <c r="N71" s="64"/>
      <c r="O71" s="42">
        <v>3000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f t="shared" si="6"/>
        <v>3000</v>
      </c>
      <c r="W71" s="70"/>
    </row>
    <row r="72" spans="1:23" ht="12.75">
      <c r="A72" s="4" t="s">
        <v>182</v>
      </c>
      <c r="B72" s="72" t="s">
        <v>97</v>
      </c>
      <c r="C72" s="72" t="s">
        <v>3</v>
      </c>
      <c r="D72" s="74">
        <v>25000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61">
        <f>SUM(D72:J72)</f>
        <v>25000</v>
      </c>
      <c r="L72" s="62"/>
      <c r="M72" s="63"/>
      <c r="N72" s="64"/>
      <c r="O72" s="42">
        <v>25000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f aca="true" t="shared" si="7" ref="V72:V103">SUM(O72:U72)</f>
        <v>25000</v>
      </c>
      <c r="W72" s="70"/>
    </row>
    <row r="73" spans="1:23" ht="12.75">
      <c r="A73" s="4" t="s">
        <v>183</v>
      </c>
      <c r="B73" s="72" t="s">
        <v>25</v>
      </c>
      <c r="C73" s="72" t="s">
        <v>5</v>
      </c>
      <c r="D73" s="74">
        <v>25000</v>
      </c>
      <c r="E73" s="74">
        <v>0</v>
      </c>
      <c r="F73" s="74">
        <v>647.164</v>
      </c>
      <c r="G73" s="74">
        <v>0</v>
      </c>
      <c r="H73" s="74">
        <v>0</v>
      </c>
      <c r="I73" s="74">
        <v>0</v>
      </c>
      <c r="J73" s="74">
        <v>0</v>
      </c>
      <c r="K73" s="61">
        <f>SUM(D73:J73)</f>
        <v>25647.164</v>
      </c>
      <c r="L73" s="62"/>
      <c r="M73" s="63"/>
      <c r="N73" s="64"/>
      <c r="O73" s="42">
        <v>25000</v>
      </c>
      <c r="P73" s="42">
        <v>0</v>
      </c>
      <c r="Q73" s="42">
        <v>647</v>
      </c>
      <c r="R73" s="42">
        <v>0</v>
      </c>
      <c r="S73" s="42">
        <v>0</v>
      </c>
      <c r="T73" s="42">
        <v>0</v>
      </c>
      <c r="U73" s="42">
        <v>0</v>
      </c>
      <c r="V73" s="42">
        <f t="shared" si="7"/>
        <v>25647</v>
      </c>
      <c r="W73" s="70"/>
    </row>
    <row r="74" spans="1:23" ht="12.75">
      <c r="A74" s="4" t="s">
        <v>184</v>
      </c>
      <c r="B74" s="72" t="s">
        <v>12</v>
      </c>
      <c r="C74" s="72" t="s">
        <v>3</v>
      </c>
      <c r="D74" s="74">
        <f>2000+20000</f>
        <v>22000</v>
      </c>
      <c r="E74" s="74">
        <v>0</v>
      </c>
      <c r="F74" s="74">
        <v>0</v>
      </c>
      <c r="G74" s="74">
        <f>327.3+345.6</f>
        <v>672.9000000000001</v>
      </c>
      <c r="H74" s="74">
        <v>0</v>
      </c>
      <c r="I74" s="74">
        <v>0</v>
      </c>
      <c r="J74" s="74">
        <v>0</v>
      </c>
      <c r="K74" s="61">
        <f>SUM(D74:J74)</f>
        <v>22672.9</v>
      </c>
      <c r="L74" s="62"/>
      <c r="M74" s="63"/>
      <c r="N74" s="64"/>
      <c r="O74" s="42">
        <v>22000</v>
      </c>
      <c r="P74" s="42">
        <v>0</v>
      </c>
      <c r="Q74" s="42">
        <v>0</v>
      </c>
      <c r="R74" s="42">
        <v>673</v>
      </c>
      <c r="S74" s="42">
        <v>0</v>
      </c>
      <c r="T74" s="42">
        <v>0</v>
      </c>
      <c r="U74" s="42">
        <v>0</v>
      </c>
      <c r="V74" s="42">
        <f t="shared" si="7"/>
        <v>22673</v>
      </c>
      <c r="W74" s="70"/>
    </row>
    <row r="75" spans="1:23" ht="12.75">
      <c r="A75" s="4" t="s">
        <v>185</v>
      </c>
      <c r="B75" s="72" t="s">
        <v>323</v>
      </c>
      <c r="C75" s="72" t="s">
        <v>5</v>
      </c>
      <c r="D75" s="74">
        <f>2000+184+16000</f>
        <v>18184</v>
      </c>
      <c r="E75" s="74">
        <v>0</v>
      </c>
      <c r="F75" s="74">
        <v>0</v>
      </c>
      <c r="G75" s="74">
        <v>0</v>
      </c>
      <c r="H75" s="74">
        <f>12900+9600+11000+15000</f>
        <v>48500</v>
      </c>
      <c r="I75" s="74">
        <v>0</v>
      </c>
      <c r="J75" s="74">
        <v>0</v>
      </c>
      <c r="K75" s="61">
        <f>SUM(D75:J75)</f>
        <v>66684</v>
      </c>
      <c r="L75" s="62"/>
      <c r="M75" s="63"/>
      <c r="N75" s="64"/>
      <c r="O75" s="42">
        <v>18184</v>
      </c>
      <c r="P75" s="42">
        <v>0</v>
      </c>
      <c r="Q75" s="42">
        <v>0</v>
      </c>
      <c r="R75" s="42">
        <v>0</v>
      </c>
      <c r="S75" s="42">
        <v>48500</v>
      </c>
      <c r="T75" s="42">
        <v>0</v>
      </c>
      <c r="U75" s="42">
        <v>0</v>
      </c>
      <c r="V75" s="42">
        <f t="shared" si="7"/>
        <v>66684</v>
      </c>
      <c r="W75" s="70"/>
    </row>
    <row r="76" spans="1:23" ht="12.75">
      <c r="A76" s="4" t="s">
        <v>191</v>
      </c>
      <c r="B76" s="72" t="s">
        <v>113</v>
      </c>
      <c r="C76" s="72" t="s">
        <v>5</v>
      </c>
      <c r="D76" s="74">
        <f>15000+7500</f>
        <v>22500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61">
        <f>SUM(D76:J76)</f>
        <v>22500</v>
      </c>
      <c r="L76" s="62"/>
      <c r="M76" s="63"/>
      <c r="N76" s="64"/>
      <c r="O76" s="42">
        <v>22500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f t="shared" si="7"/>
        <v>22500</v>
      </c>
      <c r="W76" s="70"/>
    </row>
    <row r="77" spans="1:23" ht="12.75">
      <c r="A77" s="4" t="s">
        <v>200</v>
      </c>
      <c r="B77" s="72" t="s">
        <v>114</v>
      </c>
      <c r="C77" s="72" t="s">
        <v>90</v>
      </c>
      <c r="D77" s="74">
        <v>15000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61">
        <f>SUM(D77:J77)</f>
        <v>15000</v>
      </c>
      <c r="L77" s="62"/>
      <c r="M77" s="63"/>
      <c r="N77" s="64"/>
      <c r="O77" s="42">
        <v>15000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f t="shared" si="7"/>
        <v>15000</v>
      </c>
      <c r="W77" s="70"/>
    </row>
    <row r="78" spans="2:23" ht="12.75">
      <c r="B78" s="72" t="s">
        <v>308</v>
      </c>
      <c r="C78" s="72" t="s">
        <v>6</v>
      </c>
      <c r="D78" s="74">
        <v>0</v>
      </c>
      <c r="E78" s="74">
        <v>0</v>
      </c>
      <c r="F78" s="74">
        <v>0</v>
      </c>
      <c r="G78" s="74">
        <v>0</v>
      </c>
      <c r="H78" s="74">
        <v>34400</v>
      </c>
      <c r="I78" s="74">
        <v>0</v>
      </c>
      <c r="J78" s="74">
        <v>0</v>
      </c>
      <c r="K78" s="61"/>
      <c r="L78" s="62"/>
      <c r="M78" s="63"/>
      <c r="N78" s="30"/>
      <c r="O78" s="42">
        <v>0</v>
      </c>
      <c r="P78" s="42">
        <v>0</v>
      </c>
      <c r="Q78" s="42">
        <v>0</v>
      </c>
      <c r="R78" s="42">
        <v>0</v>
      </c>
      <c r="S78" s="42">
        <v>34400</v>
      </c>
      <c r="T78" s="42">
        <v>0</v>
      </c>
      <c r="U78" s="42">
        <v>0</v>
      </c>
      <c r="V78" s="42">
        <f t="shared" si="7"/>
        <v>34400</v>
      </c>
      <c r="W78" s="70"/>
    </row>
    <row r="79" spans="1:23" ht="12.75">
      <c r="A79" s="4" t="s">
        <v>253</v>
      </c>
      <c r="B79" s="72" t="s">
        <v>13</v>
      </c>
      <c r="C79" s="72" t="s">
        <v>90</v>
      </c>
      <c r="D79" s="74">
        <f>2000+6000+5300</f>
        <v>13300</v>
      </c>
      <c r="E79" s="74">
        <v>20000</v>
      </c>
      <c r="F79" s="74">
        <v>0</v>
      </c>
      <c r="G79" s="74">
        <v>0</v>
      </c>
      <c r="H79" s="74">
        <v>15000</v>
      </c>
      <c r="I79" s="74">
        <v>0</v>
      </c>
      <c r="J79" s="74">
        <v>0</v>
      </c>
      <c r="K79" s="26">
        <f aca="true" t="shared" si="8" ref="K79:K111">SUM(D79:J79)</f>
        <v>48300</v>
      </c>
      <c r="L79" s="6"/>
      <c r="M79" s="31"/>
      <c r="N79" s="64"/>
      <c r="O79" s="42">
        <v>13300</v>
      </c>
      <c r="P79" s="42">
        <v>20000</v>
      </c>
      <c r="Q79" s="42">
        <v>0</v>
      </c>
      <c r="R79" s="42">
        <v>0</v>
      </c>
      <c r="S79" s="42">
        <v>15000</v>
      </c>
      <c r="T79" s="42">
        <v>0</v>
      </c>
      <c r="U79" s="42">
        <v>0</v>
      </c>
      <c r="V79" s="42">
        <f t="shared" si="7"/>
        <v>48300</v>
      </c>
      <c r="W79" s="70"/>
    </row>
    <row r="80" spans="1:23" ht="12.75">
      <c r="A80" s="4" t="s">
        <v>201</v>
      </c>
      <c r="B80" s="72" t="s">
        <v>276</v>
      </c>
      <c r="C80" s="72" t="s">
        <v>42</v>
      </c>
      <c r="D80" s="74">
        <f>18000+1209.65+6750+6750</f>
        <v>32709.65</v>
      </c>
      <c r="E80" s="74">
        <v>0</v>
      </c>
      <c r="F80" s="74">
        <v>0</v>
      </c>
      <c r="G80" s="74">
        <v>0</v>
      </c>
      <c r="H80" s="74">
        <f>28000+52000+22500+20000</f>
        <v>122500</v>
      </c>
      <c r="I80" s="74">
        <v>0</v>
      </c>
      <c r="J80" s="74">
        <v>0</v>
      </c>
      <c r="K80" s="61">
        <f t="shared" si="8"/>
        <v>155209.65</v>
      </c>
      <c r="L80" s="62"/>
      <c r="M80" s="63"/>
      <c r="N80" s="65"/>
      <c r="O80" s="42">
        <v>32710</v>
      </c>
      <c r="P80" s="42">
        <v>0</v>
      </c>
      <c r="Q80" s="42">
        <v>0</v>
      </c>
      <c r="R80" s="42">
        <v>0</v>
      </c>
      <c r="S80" s="42">
        <v>122500</v>
      </c>
      <c r="T80" s="42">
        <v>0</v>
      </c>
      <c r="U80" s="42">
        <v>0</v>
      </c>
      <c r="V80" s="42">
        <f t="shared" si="7"/>
        <v>155210</v>
      </c>
      <c r="W80" s="70"/>
    </row>
    <row r="81" spans="1:23" ht="12.75">
      <c r="A81" s="4" t="s">
        <v>202</v>
      </c>
      <c r="B81" s="72" t="s">
        <v>36</v>
      </c>
      <c r="C81" s="72" t="s">
        <v>3</v>
      </c>
      <c r="D81" s="74">
        <f>4000+2000+5000</f>
        <v>11000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61">
        <f t="shared" si="8"/>
        <v>11000</v>
      </c>
      <c r="L81" s="62"/>
      <c r="M81" s="63"/>
      <c r="N81" s="64"/>
      <c r="O81" s="42">
        <v>11000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f t="shared" si="7"/>
        <v>11000</v>
      </c>
      <c r="W81" s="70"/>
    </row>
    <row r="82" spans="1:23" ht="12.75">
      <c r="A82" s="4" t="s">
        <v>255</v>
      </c>
      <c r="B82" s="72" t="s">
        <v>317</v>
      </c>
      <c r="C82" s="72" t="s">
        <v>68</v>
      </c>
      <c r="D82" s="74">
        <f>3000+17000+2000+6000</f>
        <v>28000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61">
        <f t="shared" si="8"/>
        <v>28000</v>
      </c>
      <c r="L82" s="62"/>
      <c r="M82" s="63"/>
      <c r="N82" s="64"/>
      <c r="O82" s="42">
        <v>28000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f t="shared" si="7"/>
        <v>28000</v>
      </c>
      <c r="W82" s="70"/>
    </row>
    <row r="83" spans="1:23" ht="12.75">
      <c r="A83" s="4" t="s">
        <v>302</v>
      </c>
      <c r="B83" s="72" t="s">
        <v>38</v>
      </c>
      <c r="C83" s="72" t="s">
        <v>90</v>
      </c>
      <c r="D83" s="74">
        <f>3120+4625+5600</f>
        <v>13345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61">
        <f t="shared" si="8"/>
        <v>13345</v>
      </c>
      <c r="L83" s="62"/>
      <c r="M83" s="63"/>
      <c r="N83" s="64"/>
      <c r="O83" s="42">
        <v>13345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f t="shared" si="7"/>
        <v>13345</v>
      </c>
      <c r="W83" s="70"/>
    </row>
    <row r="84" spans="1:23" ht="12.75">
      <c r="A84" s="4" t="s">
        <v>319</v>
      </c>
      <c r="B84" s="72" t="s">
        <v>70</v>
      </c>
      <c r="C84" s="72" t="s">
        <v>352</v>
      </c>
      <c r="D84" s="74">
        <f>12000+10000</f>
        <v>22000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61">
        <f t="shared" si="8"/>
        <v>22000</v>
      </c>
      <c r="L84" s="62"/>
      <c r="M84" s="63"/>
      <c r="N84" s="67"/>
      <c r="O84" s="42">
        <v>22000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f t="shared" si="7"/>
        <v>22000</v>
      </c>
      <c r="W84" s="70"/>
    </row>
    <row r="85" spans="1:23" ht="12.75">
      <c r="A85" s="4" t="s">
        <v>192</v>
      </c>
      <c r="B85" s="72" t="s">
        <v>129</v>
      </c>
      <c r="C85" s="72" t="s">
        <v>351</v>
      </c>
      <c r="D85" s="74">
        <v>0</v>
      </c>
      <c r="E85" s="74">
        <v>0</v>
      </c>
      <c r="F85" s="74">
        <v>0</v>
      </c>
      <c r="G85" s="74">
        <v>0</v>
      </c>
      <c r="H85" s="74">
        <f>15000+25000+25000+10000</f>
        <v>75000</v>
      </c>
      <c r="I85" s="74">
        <v>0</v>
      </c>
      <c r="J85" s="74">
        <v>0</v>
      </c>
      <c r="K85" s="61">
        <f t="shared" si="8"/>
        <v>75000</v>
      </c>
      <c r="L85" s="62"/>
      <c r="M85" s="63"/>
      <c r="N85" s="67"/>
      <c r="O85" s="42">
        <v>0</v>
      </c>
      <c r="P85" s="42">
        <v>0</v>
      </c>
      <c r="Q85" s="42">
        <v>0</v>
      </c>
      <c r="R85" s="42">
        <v>0</v>
      </c>
      <c r="S85" s="42">
        <v>75000</v>
      </c>
      <c r="T85" s="42">
        <v>0</v>
      </c>
      <c r="U85" s="42">
        <v>0</v>
      </c>
      <c r="V85" s="42">
        <f t="shared" si="7"/>
        <v>75000</v>
      </c>
      <c r="W85" s="70"/>
    </row>
    <row r="86" spans="1:23" ht="12.75">
      <c r="A86" s="4" t="s">
        <v>193</v>
      </c>
      <c r="B86" s="72" t="s">
        <v>341</v>
      </c>
      <c r="C86" s="72" t="s">
        <v>352</v>
      </c>
      <c r="D86" s="74">
        <v>6000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61">
        <f t="shared" si="8"/>
        <v>6000</v>
      </c>
      <c r="L86" s="62"/>
      <c r="M86" s="63"/>
      <c r="N86" s="67"/>
      <c r="O86" s="42">
        <v>6000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f t="shared" si="7"/>
        <v>6000</v>
      </c>
      <c r="W86" s="70"/>
    </row>
    <row r="87" spans="1:23" ht="12.75">
      <c r="A87" s="4" t="s">
        <v>136</v>
      </c>
      <c r="B87" s="72" t="s">
        <v>54</v>
      </c>
      <c r="C87" s="72" t="s">
        <v>4</v>
      </c>
      <c r="D87" s="74">
        <f>7490.247+1500+1280+18000+850+416+3000+7400+13125+25000</f>
        <v>78061.247</v>
      </c>
      <c r="E87" s="74">
        <v>0</v>
      </c>
      <c r="F87" s="74">
        <v>485.369</v>
      </c>
      <c r="G87" s="74">
        <v>0</v>
      </c>
      <c r="H87" s="74">
        <v>25000</v>
      </c>
      <c r="I87" s="74">
        <v>0</v>
      </c>
      <c r="J87" s="74">
        <v>0</v>
      </c>
      <c r="K87" s="61">
        <f t="shared" si="8"/>
        <v>103546.61600000001</v>
      </c>
      <c r="L87" s="62"/>
      <c r="M87" s="63"/>
      <c r="N87" s="64"/>
      <c r="O87" s="42">
        <v>78061</v>
      </c>
      <c r="P87" s="42">
        <v>0</v>
      </c>
      <c r="Q87" s="42">
        <v>485</v>
      </c>
      <c r="R87" s="42">
        <v>0</v>
      </c>
      <c r="S87" s="42">
        <v>25000</v>
      </c>
      <c r="T87" s="42">
        <v>0</v>
      </c>
      <c r="U87" s="42">
        <v>0</v>
      </c>
      <c r="V87" s="42">
        <f t="shared" si="7"/>
        <v>103546</v>
      </c>
      <c r="W87" s="70"/>
    </row>
    <row r="88" spans="1:23" ht="12.75">
      <c r="A88" s="4" t="s">
        <v>291</v>
      </c>
      <c r="B88" s="72" t="s">
        <v>61</v>
      </c>
      <c r="C88" s="72" t="s">
        <v>351</v>
      </c>
      <c r="D88" s="74">
        <f>2750+15000+0+2537.919+2240+490.75+4229.865+8459.739</f>
        <v>35708.273</v>
      </c>
      <c r="E88" s="74">
        <v>0</v>
      </c>
      <c r="F88" s="74">
        <v>0</v>
      </c>
      <c r="G88" s="74">
        <v>0</v>
      </c>
      <c r="H88" s="74">
        <f>25000+25000</f>
        <v>50000</v>
      </c>
      <c r="I88" s="74">
        <v>0</v>
      </c>
      <c r="J88" s="74">
        <v>0</v>
      </c>
      <c r="K88" s="61">
        <f t="shared" si="8"/>
        <v>85708.273</v>
      </c>
      <c r="L88" s="62"/>
      <c r="M88" s="63"/>
      <c r="N88" s="64"/>
      <c r="O88" s="42">
        <v>35708</v>
      </c>
      <c r="P88" s="42">
        <v>0</v>
      </c>
      <c r="Q88" s="42">
        <v>0</v>
      </c>
      <c r="R88" s="42">
        <v>0</v>
      </c>
      <c r="S88" s="42">
        <v>50000</v>
      </c>
      <c r="T88" s="42">
        <v>0</v>
      </c>
      <c r="U88" s="42">
        <v>0</v>
      </c>
      <c r="V88" s="42">
        <f t="shared" si="7"/>
        <v>85708</v>
      </c>
      <c r="W88" s="70"/>
    </row>
    <row r="89" spans="1:23" ht="12.75">
      <c r="A89" s="4" t="s">
        <v>207</v>
      </c>
      <c r="B89" s="72" t="s">
        <v>55</v>
      </c>
      <c r="C89" s="72" t="s">
        <v>7</v>
      </c>
      <c r="D89" s="74">
        <v>0</v>
      </c>
      <c r="E89" s="74">
        <v>0</v>
      </c>
      <c r="F89" s="74">
        <v>0</v>
      </c>
      <c r="G89" s="74">
        <v>0</v>
      </c>
      <c r="H89" s="74">
        <v>50000</v>
      </c>
      <c r="I89" s="74">
        <v>0</v>
      </c>
      <c r="J89" s="74">
        <v>0</v>
      </c>
      <c r="K89" s="61">
        <f t="shared" si="8"/>
        <v>50000</v>
      </c>
      <c r="L89" s="62"/>
      <c r="M89" s="63"/>
      <c r="N89" s="64"/>
      <c r="O89" s="42">
        <v>0</v>
      </c>
      <c r="P89" s="42">
        <v>0</v>
      </c>
      <c r="Q89" s="42">
        <v>0</v>
      </c>
      <c r="R89" s="42">
        <v>0</v>
      </c>
      <c r="S89" s="42">
        <v>50000</v>
      </c>
      <c r="T89" s="42">
        <v>0</v>
      </c>
      <c r="U89" s="42">
        <v>0</v>
      </c>
      <c r="V89" s="42">
        <f t="shared" si="7"/>
        <v>50000</v>
      </c>
      <c r="W89" s="70"/>
    </row>
    <row r="90" spans="1:23" ht="12.75">
      <c r="A90" s="4" t="s">
        <v>78</v>
      </c>
      <c r="B90" s="72" t="s">
        <v>292</v>
      </c>
      <c r="C90" s="72" t="s">
        <v>5</v>
      </c>
      <c r="D90" s="74">
        <f>14133+299.4+4500+2000</f>
        <v>20932.4</v>
      </c>
      <c r="E90" s="74">
        <v>40000</v>
      </c>
      <c r="F90" s="74">
        <v>0</v>
      </c>
      <c r="G90" s="74">
        <v>0</v>
      </c>
      <c r="H90" s="74">
        <v>5000</v>
      </c>
      <c r="I90" s="74">
        <v>0</v>
      </c>
      <c r="J90" s="74">
        <v>0</v>
      </c>
      <c r="K90" s="61">
        <f t="shared" si="8"/>
        <v>65932.4</v>
      </c>
      <c r="L90" s="62"/>
      <c r="M90" s="63"/>
      <c r="N90" s="64"/>
      <c r="O90" s="42">
        <v>20932</v>
      </c>
      <c r="P90" s="42">
        <v>40000</v>
      </c>
      <c r="Q90" s="42">
        <v>0</v>
      </c>
      <c r="R90" s="42">
        <v>0</v>
      </c>
      <c r="S90" s="42">
        <v>5000</v>
      </c>
      <c r="T90" s="42">
        <v>0</v>
      </c>
      <c r="U90" s="42">
        <v>0</v>
      </c>
      <c r="V90" s="42">
        <f t="shared" si="7"/>
        <v>65932</v>
      </c>
      <c r="W90" s="70"/>
    </row>
    <row r="91" spans="1:23" ht="12.75">
      <c r="A91" s="4" t="s">
        <v>195</v>
      </c>
      <c r="B91" s="72" t="s">
        <v>103</v>
      </c>
      <c r="C91" s="72" t="s">
        <v>7</v>
      </c>
      <c r="D91" s="74">
        <v>0</v>
      </c>
      <c r="E91" s="74">
        <v>0</v>
      </c>
      <c r="F91" s="74">
        <v>0</v>
      </c>
      <c r="G91" s="74">
        <v>0</v>
      </c>
      <c r="H91" s="74">
        <v>6000</v>
      </c>
      <c r="I91" s="74">
        <v>0</v>
      </c>
      <c r="J91" s="74">
        <v>0</v>
      </c>
      <c r="K91" s="61">
        <f t="shared" si="8"/>
        <v>6000</v>
      </c>
      <c r="L91" s="62"/>
      <c r="M91" s="63"/>
      <c r="N91" s="64"/>
      <c r="O91" s="42">
        <v>0</v>
      </c>
      <c r="P91" s="42">
        <v>0</v>
      </c>
      <c r="Q91" s="42">
        <v>0</v>
      </c>
      <c r="R91" s="42">
        <v>0</v>
      </c>
      <c r="S91" s="42">
        <v>6000</v>
      </c>
      <c r="T91" s="42">
        <v>0</v>
      </c>
      <c r="U91" s="42">
        <v>0</v>
      </c>
      <c r="V91" s="42">
        <f t="shared" si="7"/>
        <v>6000</v>
      </c>
      <c r="W91" s="70"/>
    </row>
    <row r="92" spans="1:23" ht="12.75">
      <c r="A92" s="4" t="s">
        <v>213</v>
      </c>
      <c r="B92" s="72" t="s">
        <v>141</v>
      </c>
      <c r="C92" s="72" t="s">
        <v>41</v>
      </c>
      <c r="D92" s="74">
        <f>14538.9+17806.25+100000</f>
        <v>132345.15</v>
      </c>
      <c r="E92" s="74">
        <v>0</v>
      </c>
      <c r="F92" s="74">
        <v>0</v>
      </c>
      <c r="G92" s="74">
        <v>0</v>
      </c>
      <c r="H92" s="74">
        <f>30000+45500</f>
        <v>75500</v>
      </c>
      <c r="I92" s="74">
        <v>0</v>
      </c>
      <c r="J92" s="74">
        <v>0</v>
      </c>
      <c r="K92" s="61">
        <f t="shared" si="8"/>
        <v>207845.15</v>
      </c>
      <c r="L92" s="62"/>
      <c r="M92" s="63"/>
      <c r="N92" s="64"/>
      <c r="O92" s="42">
        <v>132345</v>
      </c>
      <c r="P92" s="42">
        <v>0</v>
      </c>
      <c r="Q92" s="42">
        <v>0</v>
      </c>
      <c r="R92" s="42">
        <v>0</v>
      </c>
      <c r="S92" s="42">
        <v>75500</v>
      </c>
      <c r="T92" s="42">
        <v>0</v>
      </c>
      <c r="U92" s="42">
        <v>0</v>
      </c>
      <c r="V92" s="42">
        <f t="shared" si="7"/>
        <v>207845</v>
      </c>
      <c r="W92" s="70"/>
    </row>
    <row r="93" spans="1:23" ht="12.75">
      <c r="A93" s="4" t="s">
        <v>62</v>
      </c>
      <c r="B93" s="72" t="s">
        <v>79</v>
      </c>
      <c r="C93" s="72" t="s">
        <v>9</v>
      </c>
      <c r="D93" s="74">
        <f>4000+10000+4500</f>
        <v>18500</v>
      </c>
      <c r="E93" s="74">
        <v>0</v>
      </c>
      <c r="F93" s="74">
        <v>0</v>
      </c>
      <c r="G93" s="74">
        <v>0</v>
      </c>
      <c r="H93" s="74">
        <v>6100</v>
      </c>
      <c r="I93" s="74">
        <v>0</v>
      </c>
      <c r="J93" s="74">
        <v>0</v>
      </c>
      <c r="K93" s="61">
        <f t="shared" si="8"/>
        <v>24600</v>
      </c>
      <c r="L93" s="62"/>
      <c r="M93" s="63"/>
      <c r="N93" s="64"/>
      <c r="O93" s="42">
        <v>18500</v>
      </c>
      <c r="P93" s="42">
        <v>0</v>
      </c>
      <c r="Q93" s="42">
        <v>0</v>
      </c>
      <c r="R93" s="42">
        <v>0</v>
      </c>
      <c r="S93" s="42">
        <v>6100</v>
      </c>
      <c r="T93" s="42">
        <v>0</v>
      </c>
      <c r="U93" s="42">
        <v>0</v>
      </c>
      <c r="V93" s="42">
        <f t="shared" si="7"/>
        <v>24600</v>
      </c>
      <c r="W93" s="70"/>
    </row>
    <row r="94" spans="1:23" ht="12.75">
      <c r="A94" s="4" t="s">
        <v>208</v>
      </c>
      <c r="B94" s="72" t="s">
        <v>37</v>
      </c>
      <c r="C94" s="72" t="s">
        <v>3</v>
      </c>
      <c r="D94" s="74">
        <f>20000+2000</f>
        <v>22000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61">
        <f t="shared" si="8"/>
        <v>22000</v>
      </c>
      <c r="L94" s="62"/>
      <c r="M94" s="63"/>
      <c r="N94" s="64"/>
      <c r="O94" s="42">
        <v>22000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f t="shared" si="7"/>
        <v>22000</v>
      </c>
      <c r="W94" s="70"/>
    </row>
    <row r="95" spans="1:23" ht="12.75">
      <c r="A95" s="4" t="s">
        <v>197</v>
      </c>
      <c r="B95" s="72" t="s">
        <v>93</v>
      </c>
      <c r="C95" s="72" t="s">
        <v>47</v>
      </c>
      <c r="D95" s="74">
        <f>4375+21500</f>
        <v>25875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61">
        <f t="shared" si="8"/>
        <v>25875</v>
      </c>
      <c r="L95" s="62"/>
      <c r="M95" s="63"/>
      <c r="N95" s="64"/>
      <c r="O95" s="42">
        <v>25875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f t="shared" si="7"/>
        <v>25875</v>
      </c>
      <c r="W95" s="70"/>
    </row>
    <row r="96" spans="1:23" ht="12.75">
      <c r="A96" s="4" t="s">
        <v>214</v>
      </c>
      <c r="B96" s="72" t="s">
        <v>304</v>
      </c>
      <c r="C96" s="72" t="s">
        <v>47</v>
      </c>
      <c r="D96" s="74">
        <v>12000</v>
      </c>
      <c r="E96" s="74">
        <v>25000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61">
        <f t="shared" si="8"/>
        <v>37000</v>
      </c>
      <c r="L96" s="62"/>
      <c r="M96" s="63"/>
      <c r="N96" s="64"/>
      <c r="O96" s="42">
        <v>12000</v>
      </c>
      <c r="P96" s="42">
        <v>25000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f t="shared" si="7"/>
        <v>37000</v>
      </c>
      <c r="W96" s="70"/>
    </row>
    <row r="97" spans="1:23" ht="12.75">
      <c r="A97" s="4" t="s">
        <v>303</v>
      </c>
      <c r="B97" s="72" t="s">
        <v>104</v>
      </c>
      <c r="C97" s="72" t="s">
        <v>8</v>
      </c>
      <c r="D97" s="74">
        <v>0</v>
      </c>
      <c r="E97" s="74">
        <v>0</v>
      </c>
      <c r="F97" s="74">
        <v>0</v>
      </c>
      <c r="G97" s="74">
        <v>0</v>
      </c>
      <c r="H97" s="74">
        <v>8000</v>
      </c>
      <c r="I97" s="74">
        <v>0</v>
      </c>
      <c r="J97" s="74">
        <v>0</v>
      </c>
      <c r="K97" s="61">
        <f t="shared" si="8"/>
        <v>8000</v>
      </c>
      <c r="L97" s="62"/>
      <c r="M97" s="63"/>
      <c r="N97" s="64"/>
      <c r="O97" s="42">
        <v>0</v>
      </c>
      <c r="P97" s="42">
        <v>0</v>
      </c>
      <c r="Q97" s="42">
        <v>0</v>
      </c>
      <c r="R97" s="42">
        <v>0</v>
      </c>
      <c r="S97" s="42">
        <v>8000</v>
      </c>
      <c r="T97" s="42">
        <v>0</v>
      </c>
      <c r="U97" s="42">
        <v>0</v>
      </c>
      <c r="V97" s="42">
        <f t="shared" si="7"/>
        <v>8000</v>
      </c>
      <c r="W97" s="70"/>
    </row>
    <row r="98" spans="1:23" ht="12.75">
      <c r="A98" s="4" t="s">
        <v>215</v>
      </c>
      <c r="B98" s="72" t="s">
        <v>71</v>
      </c>
      <c r="C98" s="72" t="s">
        <v>9</v>
      </c>
      <c r="D98" s="74">
        <v>5600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61">
        <f t="shared" si="8"/>
        <v>5600</v>
      </c>
      <c r="L98" s="62"/>
      <c r="M98" s="63"/>
      <c r="N98" s="64"/>
      <c r="O98" s="42">
        <v>5600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f t="shared" si="7"/>
        <v>5600</v>
      </c>
      <c r="W98" s="70"/>
    </row>
    <row r="99" spans="1:23" ht="12.75">
      <c r="A99" s="4" t="s">
        <v>209</v>
      </c>
      <c r="B99" s="72" t="s">
        <v>14</v>
      </c>
      <c r="C99" s="72" t="s">
        <v>3</v>
      </c>
      <c r="D99" s="74">
        <v>1000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61">
        <f t="shared" si="8"/>
        <v>1000</v>
      </c>
      <c r="L99" s="62"/>
      <c r="M99" s="63"/>
      <c r="N99" s="64"/>
      <c r="O99" s="42">
        <v>1000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f t="shared" si="7"/>
        <v>1000</v>
      </c>
      <c r="W99" s="70"/>
    </row>
    <row r="100" spans="1:23" ht="12.75">
      <c r="A100" s="4" t="s">
        <v>216</v>
      </c>
      <c r="B100" s="72" t="s">
        <v>26</v>
      </c>
      <c r="C100" s="72" t="s">
        <v>47</v>
      </c>
      <c r="D100" s="74">
        <f>10000+1000+1500</f>
        <v>12500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61">
        <f t="shared" si="8"/>
        <v>12500</v>
      </c>
      <c r="L100" s="62"/>
      <c r="M100" s="63"/>
      <c r="N100" s="64"/>
      <c r="O100" s="42">
        <v>12500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f t="shared" si="7"/>
        <v>12500</v>
      </c>
      <c r="W100" s="70"/>
    </row>
    <row r="101" spans="1:23" ht="12.75">
      <c r="A101" s="4" t="s">
        <v>210</v>
      </c>
      <c r="B101" s="72" t="s">
        <v>278</v>
      </c>
      <c r="C101" s="72" t="s">
        <v>3</v>
      </c>
      <c r="D101" s="74">
        <f>30000+18000+1500+1000+15000</f>
        <v>65500</v>
      </c>
      <c r="E101" s="74">
        <v>0</v>
      </c>
      <c r="F101" s="74">
        <v>0</v>
      </c>
      <c r="G101" s="74">
        <v>0</v>
      </c>
      <c r="H101" s="74">
        <v>50000</v>
      </c>
      <c r="I101" s="74">
        <v>0</v>
      </c>
      <c r="J101" s="74">
        <v>0</v>
      </c>
      <c r="K101" s="61">
        <f t="shared" si="8"/>
        <v>115500</v>
      </c>
      <c r="L101" s="62"/>
      <c r="M101" s="63"/>
      <c r="N101" s="64"/>
      <c r="O101" s="42">
        <v>65500</v>
      </c>
      <c r="P101" s="42">
        <v>0</v>
      </c>
      <c r="Q101" s="42">
        <v>0</v>
      </c>
      <c r="R101" s="42">
        <v>0</v>
      </c>
      <c r="S101" s="42">
        <v>50000</v>
      </c>
      <c r="T101" s="42">
        <v>0</v>
      </c>
      <c r="U101" s="42">
        <v>0</v>
      </c>
      <c r="V101" s="42">
        <f t="shared" si="7"/>
        <v>115500</v>
      </c>
      <c r="W101" s="70"/>
    </row>
    <row r="102" spans="1:23" ht="12.75">
      <c r="A102" s="4" t="s">
        <v>277</v>
      </c>
      <c r="B102" s="72" t="s">
        <v>39</v>
      </c>
      <c r="C102" s="72" t="s">
        <v>68</v>
      </c>
      <c r="D102" s="74">
        <f>5000+7400</f>
        <v>12400</v>
      </c>
      <c r="E102" s="74">
        <v>0</v>
      </c>
      <c r="F102" s="74">
        <v>0</v>
      </c>
      <c r="G102" s="74">
        <v>0</v>
      </c>
      <c r="H102" s="74">
        <f>10500+18500</f>
        <v>29000</v>
      </c>
      <c r="I102" s="74">
        <v>0</v>
      </c>
      <c r="J102" s="74">
        <v>0</v>
      </c>
      <c r="K102" s="61">
        <f t="shared" si="8"/>
        <v>41400</v>
      </c>
      <c r="L102" s="62"/>
      <c r="M102" s="63"/>
      <c r="N102" s="64"/>
      <c r="O102" s="42">
        <v>12400</v>
      </c>
      <c r="P102" s="42">
        <v>0</v>
      </c>
      <c r="Q102" s="42">
        <v>0</v>
      </c>
      <c r="R102" s="42">
        <v>0</v>
      </c>
      <c r="S102" s="42">
        <v>29000</v>
      </c>
      <c r="T102" s="42">
        <v>0</v>
      </c>
      <c r="U102" s="42">
        <v>0</v>
      </c>
      <c r="V102" s="42">
        <f t="shared" si="7"/>
        <v>41400</v>
      </c>
      <c r="W102" s="70"/>
    </row>
    <row r="103" spans="1:23" ht="12.75">
      <c r="A103" s="4" t="s">
        <v>199</v>
      </c>
      <c r="B103" s="72" t="s">
        <v>94</v>
      </c>
      <c r="C103" s="72" t="s">
        <v>3</v>
      </c>
      <c r="D103" s="74">
        <f>10000+3500</f>
        <v>13500</v>
      </c>
      <c r="E103" s="74">
        <v>0</v>
      </c>
      <c r="F103" s="74">
        <v>0</v>
      </c>
      <c r="G103" s="74">
        <v>0</v>
      </c>
      <c r="H103" s="74">
        <v>18000</v>
      </c>
      <c r="I103" s="74">
        <v>0</v>
      </c>
      <c r="J103" s="74">
        <v>0</v>
      </c>
      <c r="K103" s="61">
        <f t="shared" si="8"/>
        <v>31500</v>
      </c>
      <c r="L103" s="62"/>
      <c r="M103" s="63"/>
      <c r="N103" s="64"/>
      <c r="O103" s="42">
        <v>13500</v>
      </c>
      <c r="P103" s="42">
        <v>0</v>
      </c>
      <c r="Q103" s="42">
        <v>0</v>
      </c>
      <c r="R103" s="42">
        <v>0</v>
      </c>
      <c r="S103" s="42">
        <v>18000</v>
      </c>
      <c r="T103" s="42">
        <v>0</v>
      </c>
      <c r="U103" s="42">
        <v>0</v>
      </c>
      <c r="V103" s="42">
        <f t="shared" si="7"/>
        <v>31500</v>
      </c>
      <c r="W103" s="70"/>
    </row>
    <row r="104" spans="1:23" ht="12.75">
      <c r="A104" s="4" t="s">
        <v>279</v>
      </c>
      <c r="B104" s="72" t="s">
        <v>101</v>
      </c>
      <c r="C104" s="72" t="s">
        <v>5</v>
      </c>
      <c r="D104" s="74">
        <v>3000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61">
        <f t="shared" si="8"/>
        <v>3000</v>
      </c>
      <c r="L104" s="62"/>
      <c r="M104" s="63"/>
      <c r="N104" s="64"/>
      <c r="O104" s="42">
        <v>3000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f aca="true" t="shared" si="9" ref="V104:V135">SUM(O104:U104)</f>
        <v>3000</v>
      </c>
      <c r="W104" s="70"/>
    </row>
    <row r="105" spans="1:23" ht="12.75">
      <c r="A105" s="4" t="s">
        <v>305</v>
      </c>
      <c r="B105" s="72" t="s">
        <v>324</v>
      </c>
      <c r="C105" s="72" t="s">
        <v>298</v>
      </c>
      <c r="D105" s="74">
        <v>0</v>
      </c>
      <c r="E105" s="74">
        <v>50000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61">
        <f t="shared" si="8"/>
        <v>50000</v>
      </c>
      <c r="L105" s="62"/>
      <c r="M105" s="63"/>
      <c r="N105" s="64"/>
      <c r="O105" s="42">
        <v>0</v>
      </c>
      <c r="P105" s="42">
        <v>50000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f t="shared" si="9"/>
        <v>50000</v>
      </c>
      <c r="W105" s="70"/>
    </row>
    <row r="106" spans="1:23" ht="12.75">
      <c r="A106" s="4" t="s">
        <v>102</v>
      </c>
      <c r="B106" s="72" t="s">
        <v>280</v>
      </c>
      <c r="C106" s="72" t="s">
        <v>5</v>
      </c>
      <c r="D106" s="74">
        <v>7000</v>
      </c>
      <c r="E106" s="74">
        <v>0</v>
      </c>
      <c r="F106" s="74">
        <v>0</v>
      </c>
      <c r="G106" s="74">
        <f>1782+837</f>
        <v>2619</v>
      </c>
      <c r="H106" s="74">
        <v>0</v>
      </c>
      <c r="I106" s="74">
        <v>0</v>
      </c>
      <c r="J106" s="74">
        <v>0</v>
      </c>
      <c r="K106" s="61">
        <f t="shared" si="8"/>
        <v>9619</v>
      </c>
      <c r="L106" s="62"/>
      <c r="M106" s="63"/>
      <c r="N106" s="64"/>
      <c r="O106" s="42">
        <v>7000</v>
      </c>
      <c r="P106" s="42">
        <v>0</v>
      </c>
      <c r="Q106" s="42">
        <v>0</v>
      </c>
      <c r="R106" s="42">
        <v>2619</v>
      </c>
      <c r="S106" s="42">
        <v>0</v>
      </c>
      <c r="T106" s="42">
        <v>0</v>
      </c>
      <c r="U106" s="42">
        <v>0</v>
      </c>
      <c r="V106" s="42">
        <f t="shared" si="9"/>
        <v>9619</v>
      </c>
      <c r="W106" s="70"/>
    </row>
    <row r="107" spans="1:23" ht="12.75">
      <c r="A107" s="4" t="s">
        <v>203</v>
      </c>
      <c r="B107" s="72" t="s">
        <v>325</v>
      </c>
      <c r="C107" s="72" t="s">
        <v>4</v>
      </c>
      <c r="D107" s="74">
        <v>0</v>
      </c>
      <c r="E107" s="74">
        <v>0</v>
      </c>
      <c r="F107" s="74">
        <v>0</v>
      </c>
      <c r="G107" s="74">
        <v>0</v>
      </c>
      <c r="H107" s="74">
        <f>25000+25000+25000+25000</f>
        <v>100000</v>
      </c>
      <c r="I107" s="74">
        <v>0</v>
      </c>
      <c r="J107" s="74">
        <v>0</v>
      </c>
      <c r="K107" s="61">
        <f t="shared" si="8"/>
        <v>100000</v>
      </c>
      <c r="L107" s="62"/>
      <c r="M107" s="63"/>
      <c r="N107" s="64"/>
      <c r="O107" s="42">
        <v>0</v>
      </c>
      <c r="P107" s="42">
        <v>0</v>
      </c>
      <c r="Q107" s="42">
        <v>0</v>
      </c>
      <c r="R107" s="42">
        <v>0</v>
      </c>
      <c r="S107" s="42">
        <v>100000</v>
      </c>
      <c r="T107" s="42">
        <v>0</v>
      </c>
      <c r="U107" s="42">
        <v>0</v>
      </c>
      <c r="V107" s="42">
        <f t="shared" si="9"/>
        <v>100000</v>
      </c>
      <c r="W107" s="70"/>
    </row>
    <row r="108" spans="1:23" ht="12.75">
      <c r="A108" s="4" t="s">
        <v>256</v>
      </c>
      <c r="B108" s="72" t="s">
        <v>72</v>
      </c>
      <c r="C108" s="72" t="s">
        <v>3</v>
      </c>
      <c r="D108" s="74">
        <f>600+5000+4000+20000</f>
        <v>29600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61">
        <f t="shared" si="8"/>
        <v>29600</v>
      </c>
      <c r="L108" s="62"/>
      <c r="M108" s="63"/>
      <c r="N108" s="64"/>
      <c r="O108" s="42">
        <v>29600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f t="shared" si="9"/>
        <v>29600</v>
      </c>
      <c r="W108" s="70"/>
    </row>
    <row r="109" spans="1:23" ht="12.75">
      <c r="A109" s="4" t="s">
        <v>204</v>
      </c>
      <c r="B109" s="72" t="s">
        <v>115</v>
      </c>
      <c r="C109" s="72" t="s">
        <v>298</v>
      </c>
      <c r="D109" s="74">
        <v>0</v>
      </c>
      <c r="E109" s="74">
        <v>20000</v>
      </c>
      <c r="F109" s="74">
        <v>0</v>
      </c>
      <c r="G109" s="74">
        <v>0</v>
      </c>
      <c r="H109" s="74">
        <v>10000</v>
      </c>
      <c r="I109" s="74">
        <v>0</v>
      </c>
      <c r="J109" s="74">
        <v>0</v>
      </c>
      <c r="K109" s="61">
        <f t="shared" si="8"/>
        <v>30000</v>
      </c>
      <c r="L109" s="62"/>
      <c r="M109" s="63"/>
      <c r="N109" s="64"/>
      <c r="O109" s="42">
        <v>0</v>
      </c>
      <c r="P109" s="42">
        <v>20000</v>
      </c>
      <c r="Q109" s="42">
        <v>0</v>
      </c>
      <c r="R109" s="42">
        <v>0</v>
      </c>
      <c r="S109" s="42">
        <v>10000</v>
      </c>
      <c r="T109" s="42">
        <v>0</v>
      </c>
      <c r="U109" s="42">
        <v>0</v>
      </c>
      <c r="V109" s="42">
        <f t="shared" si="9"/>
        <v>30000</v>
      </c>
      <c r="W109" s="70"/>
    </row>
    <row r="110" spans="1:23" ht="12.75">
      <c r="A110" s="4" t="s">
        <v>63</v>
      </c>
      <c r="B110" s="72" t="s">
        <v>73</v>
      </c>
      <c r="C110" s="72" t="s">
        <v>7</v>
      </c>
      <c r="D110" s="74">
        <f>10000+50000+5000</f>
        <v>65000</v>
      </c>
      <c r="E110" s="74">
        <v>0</v>
      </c>
      <c r="F110" s="74">
        <v>0</v>
      </c>
      <c r="G110" s="74">
        <v>0</v>
      </c>
      <c r="H110" s="74">
        <f>32000+33000+25000+35000</f>
        <v>125000</v>
      </c>
      <c r="I110" s="74">
        <v>0</v>
      </c>
      <c r="J110" s="74">
        <v>0</v>
      </c>
      <c r="K110" s="61">
        <f t="shared" si="8"/>
        <v>190000</v>
      </c>
      <c r="L110" s="62"/>
      <c r="M110" s="63"/>
      <c r="N110" s="64"/>
      <c r="O110" s="42">
        <v>65000</v>
      </c>
      <c r="P110" s="42">
        <v>0</v>
      </c>
      <c r="Q110" s="42">
        <v>0</v>
      </c>
      <c r="R110" s="42">
        <v>0</v>
      </c>
      <c r="S110" s="42">
        <v>125000</v>
      </c>
      <c r="T110" s="42">
        <v>0</v>
      </c>
      <c r="U110" s="42">
        <v>0</v>
      </c>
      <c r="V110" s="42">
        <f t="shared" si="9"/>
        <v>190000</v>
      </c>
      <c r="W110" s="70"/>
    </row>
    <row r="111" spans="1:23" ht="12.75">
      <c r="A111" s="4" t="s">
        <v>205</v>
      </c>
      <c r="B111" s="72" t="s">
        <v>306</v>
      </c>
      <c r="C111" s="72" t="s">
        <v>4</v>
      </c>
      <c r="D111" s="74">
        <f>7000+15300+225.6</f>
        <v>22525.6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61">
        <f t="shared" si="8"/>
        <v>22525.6</v>
      </c>
      <c r="L111" s="62"/>
      <c r="M111" s="63"/>
      <c r="N111" s="64"/>
      <c r="O111" s="42">
        <v>22526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f t="shared" si="9"/>
        <v>22526</v>
      </c>
      <c r="W111" s="70"/>
    </row>
    <row r="112" spans="2:23" ht="12.75">
      <c r="B112" s="72" t="s">
        <v>258</v>
      </c>
      <c r="C112" s="72" t="s">
        <v>3</v>
      </c>
      <c r="D112" s="74">
        <f>20000+4000+30000+50000</f>
        <v>104000</v>
      </c>
      <c r="E112" s="74">
        <v>0</v>
      </c>
      <c r="F112" s="74">
        <v>0</v>
      </c>
      <c r="G112" s="74">
        <v>0</v>
      </c>
      <c r="H112" s="74">
        <f>50000+50000</f>
        <v>100000</v>
      </c>
      <c r="I112" s="74">
        <v>0</v>
      </c>
      <c r="J112" s="74">
        <v>0</v>
      </c>
      <c r="K112" s="61"/>
      <c r="L112" s="62"/>
      <c r="M112" s="63"/>
      <c r="N112" s="64"/>
      <c r="O112" s="42">
        <v>104000</v>
      </c>
      <c r="P112" s="42">
        <v>0</v>
      </c>
      <c r="Q112" s="42">
        <v>0</v>
      </c>
      <c r="R112" s="42">
        <v>0</v>
      </c>
      <c r="S112" s="42">
        <v>100000</v>
      </c>
      <c r="T112" s="42">
        <v>0</v>
      </c>
      <c r="U112" s="42">
        <v>0</v>
      </c>
      <c r="V112" s="42">
        <f t="shared" si="9"/>
        <v>204000</v>
      </c>
      <c r="W112" s="70"/>
    </row>
    <row r="113" spans="1:23" ht="12.75">
      <c r="A113" s="4" t="s">
        <v>223</v>
      </c>
      <c r="B113" s="72" t="s">
        <v>142</v>
      </c>
      <c r="C113" s="72" t="s">
        <v>90</v>
      </c>
      <c r="D113" s="74">
        <v>4500</v>
      </c>
      <c r="E113" s="74">
        <v>0</v>
      </c>
      <c r="F113" s="74">
        <v>0</v>
      </c>
      <c r="G113" s="74">
        <v>0</v>
      </c>
      <c r="H113" s="74">
        <v>10000</v>
      </c>
      <c r="I113" s="74">
        <v>0</v>
      </c>
      <c r="J113" s="74">
        <v>0</v>
      </c>
      <c r="K113" s="61">
        <f aca="true" t="shared" si="10" ref="K113:K120">SUM(D113:J113)</f>
        <v>14500</v>
      </c>
      <c r="L113" s="62"/>
      <c r="M113" s="63"/>
      <c r="N113" s="65"/>
      <c r="O113" s="42">
        <v>4500</v>
      </c>
      <c r="P113" s="42">
        <v>0</v>
      </c>
      <c r="Q113" s="42">
        <v>0</v>
      </c>
      <c r="R113" s="42">
        <v>0</v>
      </c>
      <c r="S113" s="42">
        <v>10000</v>
      </c>
      <c r="T113" s="42">
        <v>0</v>
      </c>
      <c r="U113" s="42">
        <v>0</v>
      </c>
      <c r="V113" s="42">
        <f t="shared" si="9"/>
        <v>14500</v>
      </c>
      <c r="W113" s="70"/>
    </row>
    <row r="114" spans="1:23" ht="12.75">
      <c r="A114" s="4" t="s">
        <v>257</v>
      </c>
      <c r="B114" s="72" t="s">
        <v>145</v>
      </c>
      <c r="C114" s="72" t="s">
        <v>4</v>
      </c>
      <c r="D114" s="74">
        <v>4000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61">
        <f t="shared" si="10"/>
        <v>4000</v>
      </c>
      <c r="L114" s="62"/>
      <c r="M114" s="63"/>
      <c r="N114" s="64"/>
      <c r="O114" s="42">
        <v>4000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f t="shared" si="9"/>
        <v>4000</v>
      </c>
      <c r="W114" s="70"/>
    </row>
    <row r="115" spans="1:23" ht="12.75">
      <c r="A115" s="4" t="s">
        <v>259</v>
      </c>
      <c r="B115" s="72" t="s">
        <v>300</v>
      </c>
      <c r="C115" s="72" t="s">
        <v>351</v>
      </c>
      <c r="D115" s="74">
        <f>6000+3750+4250</f>
        <v>14000</v>
      </c>
      <c r="E115" s="74">
        <f>70000+110000</f>
        <v>180000</v>
      </c>
      <c r="F115" s="74">
        <v>0</v>
      </c>
      <c r="G115" s="74">
        <v>0</v>
      </c>
      <c r="H115" s="74">
        <f>140000</f>
        <v>140000</v>
      </c>
      <c r="I115" s="74">
        <v>0</v>
      </c>
      <c r="J115" s="74">
        <v>0</v>
      </c>
      <c r="K115" s="61">
        <f t="shared" si="10"/>
        <v>334000</v>
      </c>
      <c r="L115" s="62"/>
      <c r="M115" s="63"/>
      <c r="N115" s="64"/>
      <c r="O115" s="42">
        <v>14000</v>
      </c>
      <c r="P115" s="42">
        <v>180000</v>
      </c>
      <c r="Q115" s="42">
        <v>0</v>
      </c>
      <c r="R115" s="42">
        <v>0</v>
      </c>
      <c r="S115" s="42">
        <v>140000</v>
      </c>
      <c r="T115" s="42">
        <v>0</v>
      </c>
      <c r="U115" s="42">
        <v>0</v>
      </c>
      <c r="V115" s="42">
        <f t="shared" si="9"/>
        <v>334000</v>
      </c>
      <c r="W115" s="70"/>
    </row>
    <row r="116" spans="1:23" ht="12.75">
      <c r="A116" s="4" t="s">
        <v>224</v>
      </c>
      <c r="B116" s="72" t="s">
        <v>116</v>
      </c>
      <c r="C116" s="72" t="s">
        <v>8</v>
      </c>
      <c r="D116" s="74">
        <v>30000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61">
        <f t="shared" si="10"/>
        <v>30000</v>
      </c>
      <c r="L116" s="62"/>
      <c r="M116" s="63"/>
      <c r="N116" s="64"/>
      <c r="O116" s="42">
        <v>30000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f t="shared" si="9"/>
        <v>30000</v>
      </c>
      <c r="W116" s="70"/>
    </row>
    <row r="117" spans="1:23" ht="12.75">
      <c r="A117" s="4" t="s">
        <v>64</v>
      </c>
      <c r="B117" s="72" t="s">
        <v>326</v>
      </c>
      <c r="C117" s="72" t="s">
        <v>352</v>
      </c>
      <c r="D117" s="74">
        <f>15000+10000+1500</f>
        <v>26500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61">
        <f t="shared" si="10"/>
        <v>26500</v>
      </c>
      <c r="L117" s="62"/>
      <c r="M117" s="63"/>
      <c r="N117" s="64"/>
      <c r="O117" s="42">
        <v>26500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f t="shared" si="9"/>
        <v>26500</v>
      </c>
      <c r="W117" s="70"/>
    </row>
    <row r="118" spans="1:23" ht="12.75">
      <c r="A118" s="4" t="s">
        <v>301</v>
      </c>
      <c r="B118" s="72" t="s">
        <v>309</v>
      </c>
      <c r="C118" s="72" t="s">
        <v>67</v>
      </c>
      <c r="D118" s="74">
        <f>8000+27000+10000+5000</f>
        <v>50000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61">
        <f t="shared" si="10"/>
        <v>50000</v>
      </c>
      <c r="L118" s="62"/>
      <c r="M118" s="63"/>
      <c r="N118" s="64"/>
      <c r="O118" s="42">
        <v>50000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f t="shared" si="9"/>
        <v>50000</v>
      </c>
      <c r="W118" s="70"/>
    </row>
    <row r="119" spans="1:23" ht="12.75">
      <c r="A119" s="4" t="s">
        <v>206</v>
      </c>
      <c r="B119" s="72" t="s">
        <v>293</v>
      </c>
      <c r="C119" s="72" t="s">
        <v>6</v>
      </c>
      <c r="D119" s="74">
        <v>0</v>
      </c>
      <c r="E119" s="74">
        <v>0</v>
      </c>
      <c r="F119" s="74">
        <v>0</v>
      </c>
      <c r="G119" s="74">
        <v>0</v>
      </c>
      <c r="H119" s="74">
        <v>5000</v>
      </c>
      <c r="I119" s="74">
        <v>0</v>
      </c>
      <c r="J119" s="74">
        <v>0</v>
      </c>
      <c r="K119" s="61">
        <f t="shared" si="10"/>
        <v>5000</v>
      </c>
      <c r="L119" s="62"/>
      <c r="M119" s="63"/>
      <c r="N119" s="64"/>
      <c r="O119" s="42">
        <v>0</v>
      </c>
      <c r="P119" s="42">
        <v>0</v>
      </c>
      <c r="Q119" s="42">
        <v>0</v>
      </c>
      <c r="R119" s="42">
        <v>0</v>
      </c>
      <c r="S119" s="42">
        <v>5000</v>
      </c>
      <c r="T119" s="42">
        <v>0</v>
      </c>
      <c r="U119" s="42">
        <v>0</v>
      </c>
      <c r="V119" s="42">
        <f t="shared" si="9"/>
        <v>5000</v>
      </c>
      <c r="W119" s="70"/>
    </row>
    <row r="120" spans="1:23" ht="12.75">
      <c r="A120" s="4" t="s">
        <v>226</v>
      </c>
      <c r="B120" s="72" t="s">
        <v>86</v>
      </c>
      <c r="C120" s="72" t="s">
        <v>5</v>
      </c>
      <c r="D120" s="74">
        <v>3000</v>
      </c>
      <c r="E120" s="74">
        <f>25000+25000</f>
        <v>50000</v>
      </c>
      <c r="F120" s="74">
        <v>939.472</v>
      </c>
      <c r="G120" s="74">
        <v>0</v>
      </c>
      <c r="H120" s="74">
        <v>0</v>
      </c>
      <c r="I120" s="74">
        <v>0</v>
      </c>
      <c r="J120" s="74">
        <v>0</v>
      </c>
      <c r="K120" s="61">
        <f t="shared" si="10"/>
        <v>53939.472</v>
      </c>
      <c r="L120" s="62"/>
      <c r="M120" s="63"/>
      <c r="N120" s="64"/>
      <c r="O120" s="42">
        <v>3000</v>
      </c>
      <c r="P120" s="42">
        <v>50000</v>
      </c>
      <c r="Q120" s="42">
        <v>939</v>
      </c>
      <c r="R120" s="42">
        <v>0</v>
      </c>
      <c r="S120" s="42">
        <v>0</v>
      </c>
      <c r="T120" s="42">
        <v>0</v>
      </c>
      <c r="U120" s="42">
        <v>0</v>
      </c>
      <c r="V120" s="42">
        <f t="shared" si="9"/>
        <v>53939</v>
      </c>
      <c r="W120" s="70"/>
    </row>
    <row r="121" spans="2:23" ht="12.75">
      <c r="B121" s="72" t="s">
        <v>318</v>
      </c>
      <c r="C121" s="72" t="s">
        <v>352</v>
      </c>
      <c r="D121" s="74">
        <v>10000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61"/>
      <c r="L121" s="62"/>
      <c r="M121" s="63"/>
      <c r="N121" s="64"/>
      <c r="O121" s="42">
        <v>10000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f t="shared" si="9"/>
        <v>10000</v>
      </c>
      <c r="W121" s="70"/>
    </row>
    <row r="122" spans="1:23" ht="12.75">
      <c r="A122" s="4" t="s">
        <v>281</v>
      </c>
      <c r="B122" s="72" t="s">
        <v>327</v>
      </c>
      <c r="C122" s="72" t="s">
        <v>351</v>
      </c>
      <c r="D122" s="74">
        <v>0</v>
      </c>
      <c r="E122" s="74">
        <v>50000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61">
        <f>SUM(D122:J122)</f>
        <v>50000</v>
      </c>
      <c r="L122" s="62"/>
      <c r="M122" s="63"/>
      <c r="N122" s="64"/>
      <c r="O122" s="42">
        <v>0</v>
      </c>
      <c r="P122" s="42">
        <v>50000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f t="shared" si="9"/>
        <v>50000</v>
      </c>
      <c r="W122" s="70"/>
    </row>
    <row r="123" spans="1:23" ht="12.75">
      <c r="A123" s="4" t="s">
        <v>211</v>
      </c>
      <c r="B123" s="72" t="s">
        <v>80</v>
      </c>
      <c r="C123" s="72" t="s">
        <v>4</v>
      </c>
      <c r="D123" s="74">
        <v>3000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61">
        <f>SUM(D123:J123)</f>
        <v>3000</v>
      </c>
      <c r="L123" s="62"/>
      <c r="M123" s="63"/>
      <c r="N123" s="64"/>
      <c r="O123" s="42">
        <v>3000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f t="shared" si="9"/>
        <v>3000</v>
      </c>
      <c r="W123" s="70"/>
    </row>
    <row r="124" spans="1:23" ht="12.75">
      <c r="A124" s="4" t="s">
        <v>307</v>
      </c>
      <c r="B124" s="72" t="s">
        <v>27</v>
      </c>
      <c r="C124" s="72" t="s">
        <v>4</v>
      </c>
      <c r="D124" s="74">
        <f>2000+1873.4</f>
        <v>3873.4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61">
        <f>SUM(D124:J124)</f>
        <v>3873.4</v>
      </c>
      <c r="L124" s="62"/>
      <c r="M124" s="63"/>
      <c r="N124" s="64"/>
      <c r="O124" s="42">
        <v>3873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f t="shared" si="9"/>
        <v>3873</v>
      </c>
      <c r="W124" s="70"/>
    </row>
    <row r="125" spans="1:23" ht="12.75">
      <c r="A125" s="4" t="s">
        <v>282</v>
      </c>
      <c r="B125" s="72" t="s">
        <v>117</v>
      </c>
      <c r="C125" s="72" t="s">
        <v>9</v>
      </c>
      <c r="D125" s="74">
        <f>4625+10000</f>
        <v>14625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61">
        <f>SUM(D125:J125)</f>
        <v>14625</v>
      </c>
      <c r="L125" s="62"/>
      <c r="M125" s="63"/>
      <c r="N125" s="64"/>
      <c r="O125" s="42">
        <v>14625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f t="shared" si="9"/>
        <v>14625</v>
      </c>
      <c r="W125" s="70"/>
    </row>
    <row r="126" spans="2:23" ht="12.75">
      <c r="B126" s="72" t="s">
        <v>118</v>
      </c>
      <c r="C126" s="72" t="s">
        <v>8</v>
      </c>
      <c r="D126" s="74">
        <v>0</v>
      </c>
      <c r="E126" s="74">
        <v>0</v>
      </c>
      <c r="F126" s="74">
        <v>0</v>
      </c>
      <c r="G126" s="74">
        <v>0</v>
      </c>
      <c r="H126" s="74">
        <f>10000+20000+20000</f>
        <v>50000</v>
      </c>
      <c r="I126" s="74">
        <v>0</v>
      </c>
      <c r="J126" s="74">
        <v>0</v>
      </c>
      <c r="K126" s="61"/>
      <c r="L126" s="62"/>
      <c r="M126" s="63"/>
      <c r="N126" s="64"/>
      <c r="O126" s="42">
        <v>0</v>
      </c>
      <c r="P126" s="42">
        <v>0</v>
      </c>
      <c r="Q126" s="42">
        <v>0</v>
      </c>
      <c r="R126" s="42">
        <v>0</v>
      </c>
      <c r="S126" s="42">
        <v>50000</v>
      </c>
      <c r="T126" s="42">
        <v>0</v>
      </c>
      <c r="U126" s="42">
        <v>0</v>
      </c>
      <c r="V126" s="42">
        <f t="shared" si="9"/>
        <v>50000</v>
      </c>
      <c r="W126" s="70"/>
    </row>
    <row r="127" spans="1:23" ht="12.75">
      <c r="A127" s="4" t="s">
        <v>212</v>
      </c>
      <c r="B127" s="72" t="s">
        <v>119</v>
      </c>
      <c r="C127" s="72" t="s">
        <v>3</v>
      </c>
      <c r="D127" s="74">
        <v>0</v>
      </c>
      <c r="E127" s="74">
        <v>0</v>
      </c>
      <c r="F127" s="74">
        <v>0</v>
      </c>
      <c r="G127" s="74">
        <v>0</v>
      </c>
      <c r="H127" s="74">
        <v>25000</v>
      </c>
      <c r="I127" s="74">
        <v>0</v>
      </c>
      <c r="J127" s="74">
        <v>0</v>
      </c>
      <c r="K127" s="61">
        <f aca="true" t="shared" si="11" ref="K127:K151">SUM(D127:J127)</f>
        <v>25000</v>
      </c>
      <c r="L127" s="62"/>
      <c r="M127" s="63"/>
      <c r="N127" s="64"/>
      <c r="O127" s="42">
        <v>0</v>
      </c>
      <c r="P127" s="42">
        <v>0</v>
      </c>
      <c r="Q127" s="42">
        <v>0</v>
      </c>
      <c r="R127" s="42">
        <v>0</v>
      </c>
      <c r="S127" s="42">
        <v>25000</v>
      </c>
      <c r="T127" s="42">
        <v>0</v>
      </c>
      <c r="U127" s="42">
        <v>0</v>
      </c>
      <c r="V127" s="42">
        <f t="shared" si="9"/>
        <v>25000</v>
      </c>
      <c r="W127" s="70"/>
    </row>
    <row r="128" spans="1:23" ht="12.75">
      <c r="A128" s="4" t="s">
        <v>217</v>
      </c>
      <c r="B128" s="72" t="s">
        <v>283</v>
      </c>
      <c r="C128" s="72" t="s">
        <v>7</v>
      </c>
      <c r="D128" s="74">
        <v>0</v>
      </c>
      <c r="E128" s="74">
        <v>25000</v>
      </c>
      <c r="F128" s="74">
        <v>0</v>
      </c>
      <c r="G128" s="74">
        <v>0</v>
      </c>
      <c r="H128" s="74">
        <f>15000+25000</f>
        <v>40000</v>
      </c>
      <c r="I128" s="74">
        <v>0</v>
      </c>
      <c r="J128" s="74">
        <v>0</v>
      </c>
      <c r="K128" s="61">
        <f t="shared" si="11"/>
        <v>65000</v>
      </c>
      <c r="L128" s="62"/>
      <c r="M128" s="63"/>
      <c r="N128" s="64"/>
      <c r="O128" s="42">
        <v>0</v>
      </c>
      <c r="P128" s="42">
        <v>25000</v>
      </c>
      <c r="Q128" s="42">
        <v>0</v>
      </c>
      <c r="R128" s="42">
        <v>0</v>
      </c>
      <c r="S128" s="42">
        <v>40000</v>
      </c>
      <c r="T128" s="42">
        <v>0</v>
      </c>
      <c r="U128" s="42">
        <v>0</v>
      </c>
      <c r="V128" s="42">
        <f t="shared" si="9"/>
        <v>65000</v>
      </c>
      <c r="W128" s="70"/>
    </row>
    <row r="129" spans="1:23" ht="12.75">
      <c r="A129" s="4" t="s">
        <v>231</v>
      </c>
      <c r="B129" s="72" t="s">
        <v>28</v>
      </c>
      <c r="C129" s="72" t="s">
        <v>353</v>
      </c>
      <c r="D129" s="74">
        <f>15000+1500</f>
        <v>16500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61">
        <f t="shared" si="11"/>
        <v>16500</v>
      </c>
      <c r="L129" s="62"/>
      <c r="M129" s="63"/>
      <c r="N129" s="64"/>
      <c r="O129" s="42">
        <v>16500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f t="shared" si="9"/>
        <v>16500</v>
      </c>
      <c r="W129" s="70"/>
    </row>
    <row r="130" spans="1:23" ht="12.75">
      <c r="A130" s="4" t="s">
        <v>232</v>
      </c>
      <c r="B130" s="72" t="s">
        <v>29</v>
      </c>
      <c r="C130" s="72" t="s">
        <v>90</v>
      </c>
      <c r="D130" s="74">
        <f>1500+442.4</f>
        <v>1942.4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61">
        <f t="shared" si="11"/>
        <v>1942.4</v>
      </c>
      <c r="L130" s="62"/>
      <c r="M130" s="63"/>
      <c r="N130" s="64"/>
      <c r="O130" s="42">
        <v>1942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f t="shared" si="9"/>
        <v>1942</v>
      </c>
      <c r="W130" s="70"/>
    </row>
    <row r="131" spans="1:23" ht="12.75">
      <c r="A131" s="4" t="s">
        <v>218</v>
      </c>
      <c r="B131" s="72" t="s">
        <v>342</v>
      </c>
      <c r="C131" s="72" t="s">
        <v>7</v>
      </c>
      <c r="D131" s="74">
        <f>660.4+24000+13125+100000+10000+10000+20000</f>
        <v>177785.4</v>
      </c>
      <c r="E131" s="74">
        <v>0</v>
      </c>
      <c r="F131" s="74">
        <v>0</v>
      </c>
      <c r="G131" s="74">
        <v>0</v>
      </c>
      <c r="H131" s="74">
        <f>25100+25000+50000+50000</f>
        <v>150100</v>
      </c>
      <c r="I131" s="74">
        <v>0</v>
      </c>
      <c r="J131" s="74">
        <v>0</v>
      </c>
      <c r="K131" s="61">
        <f t="shared" si="11"/>
        <v>327885.4</v>
      </c>
      <c r="L131" s="62"/>
      <c r="M131" s="63"/>
      <c r="N131" s="64"/>
      <c r="O131" s="42">
        <v>177785</v>
      </c>
      <c r="P131" s="42">
        <v>0</v>
      </c>
      <c r="Q131" s="42">
        <v>0</v>
      </c>
      <c r="R131" s="42">
        <v>0</v>
      </c>
      <c r="S131" s="42">
        <v>150100</v>
      </c>
      <c r="T131" s="42">
        <v>0</v>
      </c>
      <c r="U131" s="42">
        <v>0</v>
      </c>
      <c r="V131" s="42">
        <f t="shared" si="9"/>
        <v>327885</v>
      </c>
      <c r="W131" s="70"/>
    </row>
    <row r="132" spans="1:23" ht="12.75">
      <c r="A132" s="4" t="s">
        <v>233</v>
      </c>
      <c r="B132" s="72" t="s">
        <v>294</v>
      </c>
      <c r="C132" s="72" t="s">
        <v>4</v>
      </c>
      <c r="D132" s="74">
        <v>22000</v>
      </c>
      <c r="E132" s="74">
        <v>0</v>
      </c>
      <c r="F132" s="74">
        <v>0</v>
      </c>
      <c r="G132" s="74">
        <v>0</v>
      </c>
      <c r="H132" s="74">
        <f>33000+67000+28000+27000</f>
        <v>155000</v>
      </c>
      <c r="I132" s="74">
        <v>0</v>
      </c>
      <c r="J132" s="74">
        <v>0</v>
      </c>
      <c r="K132" s="61">
        <f t="shared" si="11"/>
        <v>177000</v>
      </c>
      <c r="L132" s="62"/>
      <c r="M132" s="63"/>
      <c r="N132" s="64"/>
      <c r="O132" s="42">
        <v>22000</v>
      </c>
      <c r="P132" s="42">
        <v>0</v>
      </c>
      <c r="Q132" s="42">
        <v>0</v>
      </c>
      <c r="R132" s="42">
        <v>0</v>
      </c>
      <c r="S132" s="42">
        <v>155000</v>
      </c>
      <c r="T132" s="42">
        <v>0</v>
      </c>
      <c r="U132" s="42">
        <v>0</v>
      </c>
      <c r="V132" s="42">
        <f t="shared" si="9"/>
        <v>177000</v>
      </c>
      <c r="W132" s="70"/>
    </row>
    <row r="133" spans="1:23" ht="12.75">
      <c r="A133" s="4" t="s">
        <v>132</v>
      </c>
      <c r="B133" s="72" t="s">
        <v>105</v>
      </c>
      <c r="C133" s="72" t="s">
        <v>4</v>
      </c>
      <c r="D133" s="74">
        <v>0</v>
      </c>
      <c r="E133" s="74">
        <v>0</v>
      </c>
      <c r="F133" s="74">
        <v>0</v>
      </c>
      <c r="G133" s="74">
        <v>0</v>
      </c>
      <c r="H133" s="74">
        <f>35000+25000+15000+25000</f>
        <v>100000</v>
      </c>
      <c r="I133" s="74">
        <v>0</v>
      </c>
      <c r="J133" s="74">
        <v>0</v>
      </c>
      <c r="K133" s="61">
        <f t="shared" si="11"/>
        <v>100000</v>
      </c>
      <c r="L133" s="62"/>
      <c r="M133" s="63"/>
      <c r="N133" s="64"/>
      <c r="O133" s="42">
        <v>0</v>
      </c>
      <c r="P133" s="42">
        <v>0</v>
      </c>
      <c r="Q133" s="42">
        <v>0</v>
      </c>
      <c r="R133" s="42">
        <v>0</v>
      </c>
      <c r="S133" s="42">
        <v>100000</v>
      </c>
      <c r="T133" s="42">
        <v>0</v>
      </c>
      <c r="U133" s="42">
        <v>0</v>
      </c>
      <c r="V133" s="42">
        <f t="shared" si="9"/>
        <v>100000</v>
      </c>
      <c r="W133" s="70"/>
    </row>
    <row r="134" spans="1:23" ht="12.75">
      <c r="A134" s="4" t="s">
        <v>219</v>
      </c>
      <c r="B134" s="72" t="s">
        <v>310</v>
      </c>
      <c r="C134" s="72" t="s">
        <v>8</v>
      </c>
      <c r="D134" s="74">
        <v>0</v>
      </c>
      <c r="E134" s="74">
        <v>0</v>
      </c>
      <c r="F134" s="74">
        <v>0</v>
      </c>
      <c r="G134" s="74">
        <v>0</v>
      </c>
      <c r="H134" s="74">
        <v>50000</v>
      </c>
      <c r="I134" s="74">
        <v>0</v>
      </c>
      <c r="J134" s="74">
        <v>0</v>
      </c>
      <c r="K134" s="61">
        <f t="shared" si="11"/>
        <v>50000</v>
      </c>
      <c r="L134" s="62"/>
      <c r="M134" s="63"/>
      <c r="N134" s="64"/>
      <c r="O134" s="42">
        <v>0</v>
      </c>
      <c r="P134" s="42">
        <v>0</v>
      </c>
      <c r="Q134" s="42">
        <v>0</v>
      </c>
      <c r="R134" s="42">
        <v>0</v>
      </c>
      <c r="S134" s="42">
        <v>50000</v>
      </c>
      <c r="T134" s="42">
        <v>0</v>
      </c>
      <c r="U134" s="42">
        <v>0</v>
      </c>
      <c r="V134" s="42">
        <f t="shared" si="9"/>
        <v>50000</v>
      </c>
      <c r="W134" s="70"/>
    </row>
    <row r="135" spans="1:23" ht="12.75">
      <c r="A135" s="4" t="s">
        <v>284</v>
      </c>
      <c r="B135" s="72" t="s">
        <v>30</v>
      </c>
      <c r="C135" s="72" t="s">
        <v>352</v>
      </c>
      <c r="D135" s="74">
        <f>500+1250+3750</f>
        <v>5500</v>
      </c>
      <c r="E135" s="74">
        <v>15000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61">
        <f t="shared" si="11"/>
        <v>20500</v>
      </c>
      <c r="L135" s="62"/>
      <c r="M135" s="63"/>
      <c r="N135" s="64"/>
      <c r="O135" s="42">
        <v>5500</v>
      </c>
      <c r="P135" s="42">
        <v>15000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f t="shared" si="9"/>
        <v>20500</v>
      </c>
      <c r="W135" s="70"/>
    </row>
    <row r="136" spans="1:23" ht="12.75">
      <c r="A136" s="4" t="s">
        <v>234</v>
      </c>
      <c r="B136" s="72" t="s">
        <v>343</v>
      </c>
      <c r="C136" s="72" t="s">
        <v>8</v>
      </c>
      <c r="D136" s="74">
        <v>0</v>
      </c>
      <c r="E136" s="74">
        <v>33000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61">
        <f t="shared" si="11"/>
        <v>33000</v>
      </c>
      <c r="L136" s="62"/>
      <c r="M136" s="63"/>
      <c r="N136" s="64"/>
      <c r="O136" s="42">
        <v>0</v>
      </c>
      <c r="P136" s="42">
        <v>33000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f aca="true" t="shared" si="12" ref="V136:V167">SUM(O136:U136)</f>
        <v>33000</v>
      </c>
      <c r="W136" s="70"/>
    </row>
    <row r="137" spans="1:23" ht="12.75">
      <c r="A137" s="4" t="s">
        <v>238</v>
      </c>
      <c r="B137" s="72" t="s">
        <v>314</v>
      </c>
      <c r="C137" s="72" t="s">
        <v>298</v>
      </c>
      <c r="D137" s="74">
        <v>2200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61">
        <f t="shared" si="11"/>
        <v>2200</v>
      </c>
      <c r="L137" s="62"/>
      <c r="M137" s="63"/>
      <c r="N137" s="64"/>
      <c r="O137" s="42">
        <v>2200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f t="shared" si="12"/>
        <v>2200</v>
      </c>
      <c r="W137" s="70"/>
    </row>
    <row r="138" spans="1:23" ht="12.75">
      <c r="A138" s="4" t="s">
        <v>131</v>
      </c>
      <c r="B138" s="72" t="s">
        <v>344</v>
      </c>
      <c r="C138" s="72" t="s">
        <v>351</v>
      </c>
      <c r="D138" s="74">
        <v>0</v>
      </c>
      <c r="E138" s="74">
        <v>35000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61">
        <f t="shared" si="11"/>
        <v>35000</v>
      </c>
      <c r="L138" s="62"/>
      <c r="M138" s="63"/>
      <c r="N138" s="67"/>
      <c r="O138" s="42">
        <v>0</v>
      </c>
      <c r="P138" s="42">
        <v>35000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f t="shared" si="12"/>
        <v>35000</v>
      </c>
      <c r="W138" s="70"/>
    </row>
    <row r="139" spans="1:23" ht="12.75">
      <c r="A139" s="4" t="s">
        <v>243</v>
      </c>
      <c r="B139" s="72" t="s">
        <v>95</v>
      </c>
      <c r="C139" s="72" t="s">
        <v>4</v>
      </c>
      <c r="D139" s="74">
        <f>30000+8000+10000+25000</f>
        <v>73000</v>
      </c>
      <c r="E139" s="74">
        <v>0</v>
      </c>
      <c r="F139" s="74">
        <v>0</v>
      </c>
      <c r="G139" s="74">
        <v>0</v>
      </c>
      <c r="H139" s="74">
        <f>20000+35000</f>
        <v>55000</v>
      </c>
      <c r="I139" s="74">
        <v>0</v>
      </c>
      <c r="J139" s="74">
        <v>0</v>
      </c>
      <c r="K139" s="61">
        <f t="shared" si="11"/>
        <v>128000</v>
      </c>
      <c r="L139" s="62"/>
      <c r="M139" s="63"/>
      <c r="N139" s="67"/>
      <c r="O139" s="42">
        <v>73000</v>
      </c>
      <c r="P139" s="42">
        <v>0</v>
      </c>
      <c r="Q139" s="42">
        <v>0</v>
      </c>
      <c r="R139" s="42">
        <v>0</v>
      </c>
      <c r="S139" s="42">
        <v>55000</v>
      </c>
      <c r="T139" s="42">
        <v>0</v>
      </c>
      <c r="U139" s="42">
        <v>0</v>
      </c>
      <c r="V139" s="42">
        <f t="shared" si="12"/>
        <v>128000</v>
      </c>
      <c r="W139" s="70"/>
    </row>
    <row r="140" spans="1:23" ht="12.75">
      <c r="A140" s="4" t="s">
        <v>221</v>
      </c>
      <c r="B140" s="72" t="s">
        <v>120</v>
      </c>
      <c r="C140" s="72" t="s">
        <v>8</v>
      </c>
      <c r="D140" s="74">
        <v>12000</v>
      </c>
      <c r="E140" s="74">
        <v>0</v>
      </c>
      <c r="F140" s="74">
        <v>0</v>
      </c>
      <c r="G140" s="74">
        <v>0</v>
      </c>
      <c r="H140" s="74">
        <v>66100</v>
      </c>
      <c r="I140" s="74">
        <v>0</v>
      </c>
      <c r="J140" s="74">
        <v>0</v>
      </c>
      <c r="K140" s="61">
        <f t="shared" si="11"/>
        <v>78100</v>
      </c>
      <c r="L140" s="62"/>
      <c r="M140" s="63"/>
      <c r="N140" s="64"/>
      <c r="O140" s="42">
        <v>12000</v>
      </c>
      <c r="P140" s="42">
        <v>0</v>
      </c>
      <c r="Q140" s="42">
        <v>0</v>
      </c>
      <c r="R140" s="42">
        <v>0</v>
      </c>
      <c r="S140" s="42">
        <v>66100</v>
      </c>
      <c r="T140" s="42">
        <v>0</v>
      </c>
      <c r="U140" s="42">
        <v>0</v>
      </c>
      <c r="V140" s="42">
        <f t="shared" si="12"/>
        <v>78100</v>
      </c>
      <c r="W140" s="70"/>
    </row>
    <row r="141" spans="1:23" ht="12.75">
      <c r="A141" s="4" t="s">
        <v>222</v>
      </c>
      <c r="B141" s="72" t="s">
        <v>81</v>
      </c>
      <c r="C141" s="72" t="s">
        <v>9</v>
      </c>
      <c r="D141" s="74">
        <v>5000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61">
        <f t="shared" si="11"/>
        <v>5000</v>
      </c>
      <c r="L141" s="62"/>
      <c r="M141" s="63"/>
      <c r="N141" s="64"/>
      <c r="O141" s="42">
        <v>5000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f t="shared" si="12"/>
        <v>5000</v>
      </c>
      <c r="W141" s="70"/>
    </row>
    <row r="142" spans="1:23" ht="12.75">
      <c r="A142" s="4" t="s">
        <v>149</v>
      </c>
      <c r="B142" s="72" t="s">
        <v>285</v>
      </c>
      <c r="C142" s="72" t="s">
        <v>5</v>
      </c>
      <c r="D142" s="74">
        <v>38000</v>
      </c>
      <c r="E142" s="74">
        <v>100000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61">
        <f t="shared" si="11"/>
        <v>138000</v>
      </c>
      <c r="L142" s="62"/>
      <c r="M142" s="63"/>
      <c r="N142" s="64"/>
      <c r="O142" s="42">
        <v>38000</v>
      </c>
      <c r="P142" s="42">
        <v>100000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f t="shared" si="12"/>
        <v>138000</v>
      </c>
      <c r="W142" s="70"/>
    </row>
    <row r="143" spans="1:23" ht="12.75">
      <c r="A143" s="4" t="s">
        <v>260</v>
      </c>
      <c r="B143" s="72" t="s">
        <v>295</v>
      </c>
      <c r="C143" s="72" t="s">
        <v>68</v>
      </c>
      <c r="D143" s="74">
        <v>40000</v>
      </c>
      <c r="E143" s="74">
        <v>27500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61">
        <f t="shared" si="11"/>
        <v>67500</v>
      </c>
      <c r="L143" s="62"/>
      <c r="M143" s="63"/>
      <c r="N143" s="67"/>
      <c r="O143" s="42">
        <v>40000</v>
      </c>
      <c r="P143" s="42">
        <v>27500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f t="shared" si="12"/>
        <v>67500</v>
      </c>
      <c r="W143" s="70"/>
    </row>
    <row r="144" spans="1:23" ht="12.75">
      <c r="A144" s="4" t="s">
        <v>261</v>
      </c>
      <c r="B144" s="72" t="s">
        <v>31</v>
      </c>
      <c r="C144" s="72" t="s">
        <v>351</v>
      </c>
      <c r="D144" s="74">
        <v>3500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61">
        <f t="shared" si="11"/>
        <v>3500</v>
      </c>
      <c r="L144" s="62"/>
      <c r="M144" s="63"/>
      <c r="N144" s="64"/>
      <c r="O144" s="42">
        <v>3500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f t="shared" si="12"/>
        <v>3500</v>
      </c>
      <c r="W144" s="70"/>
    </row>
    <row r="145" spans="1:23" ht="12.75">
      <c r="A145" s="4" t="s">
        <v>225</v>
      </c>
      <c r="B145" s="72" t="s">
        <v>345</v>
      </c>
      <c r="C145" s="72" t="s">
        <v>9</v>
      </c>
      <c r="D145" s="74">
        <v>0</v>
      </c>
      <c r="E145" s="74">
        <v>22000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61">
        <f t="shared" si="11"/>
        <v>22000</v>
      </c>
      <c r="L145" s="62"/>
      <c r="M145" s="63"/>
      <c r="N145" s="64"/>
      <c r="O145" s="42">
        <v>0</v>
      </c>
      <c r="P145" s="42">
        <v>22000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f t="shared" si="12"/>
        <v>22000</v>
      </c>
      <c r="W145" s="70"/>
    </row>
    <row r="146" spans="1:23" ht="12.75">
      <c r="A146" s="4" t="s">
        <v>254</v>
      </c>
      <c r="B146" s="72" t="s">
        <v>57</v>
      </c>
      <c r="C146" s="72" t="s">
        <v>68</v>
      </c>
      <c r="D146" s="74">
        <v>7000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61">
        <f t="shared" si="11"/>
        <v>7000</v>
      </c>
      <c r="L146" s="62"/>
      <c r="M146" s="63"/>
      <c r="N146" s="64"/>
      <c r="O146" s="42">
        <v>7000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f t="shared" si="12"/>
        <v>7000</v>
      </c>
      <c r="W146" s="70"/>
    </row>
    <row r="147" spans="1:23" ht="12.75">
      <c r="A147" s="4" t="s">
        <v>262</v>
      </c>
      <c r="B147" s="72" t="s">
        <v>32</v>
      </c>
      <c r="C147" s="72" t="s">
        <v>352</v>
      </c>
      <c r="D147" s="74">
        <f>3000+1500+13500+45000</f>
        <v>63000</v>
      </c>
      <c r="E147" s="74">
        <v>0</v>
      </c>
      <c r="F147" s="74">
        <v>0</v>
      </c>
      <c r="G147" s="74">
        <v>0</v>
      </c>
      <c r="H147" s="74">
        <v>25000</v>
      </c>
      <c r="I147" s="74">
        <v>0</v>
      </c>
      <c r="J147" s="74">
        <v>0</v>
      </c>
      <c r="K147" s="61">
        <f t="shared" si="11"/>
        <v>88000</v>
      </c>
      <c r="L147" s="62"/>
      <c r="M147" s="63"/>
      <c r="N147" s="64"/>
      <c r="O147" s="42">
        <v>63000</v>
      </c>
      <c r="P147" s="42">
        <v>0</v>
      </c>
      <c r="Q147" s="42">
        <v>0</v>
      </c>
      <c r="R147" s="42">
        <v>0</v>
      </c>
      <c r="S147" s="42">
        <v>25000</v>
      </c>
      <c r="T147" s="42">
        <v>0</v>
      </c>
      <c r="U147" s="42">
        <v>0</v>
      </c>
      <c r="V147" s="42">
        <f t="shared" si="12"/>
        <v>88000</v>
      </c>
      <c r="W147" s="70"/>
    </row>
    <row r="148" spans="1:23" ht="12.75">
      <c r="A148" s="4" t="s">
        <v>227</v>
      </c>
      <c r="B148" s="72" t="s">
        <v>328</v>
      </c>
      <c r="C148" s="72" t="s">
        <v>90</v>
      </c>
      <c r="D148" s="74">
        <v>7500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61">
        <f t="shared" si="11"/>
        <v>7500</v>
      </c>
      <c r="L148" s="62"/>
      <c r="M148" s="63"/>
      <c r="N148" s="67"/>
      <c r="O148" s="42">
        <v>7500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f t="shared" si="12"/>
        <v>7500</v>
      </c>
      <c r="W148" s="70"/>
    </row>
    <row r="149" spans="1:23" ht="12.75">
      <c r="A149" s="4" t="s">
        <v>228</v>
      </c>
      <c r="B149" s="72" t="s">
        <v>346</v>
      </c>
      <c r="C149" s="72" t="s">
        <v>352</v>
      </c>
      <c r="D149" s="74">
        <v>0</v>
      </c>
      <c r="E149" s="74">
        <v>35000</v>
      </c>
      <c r="F149" s="74">
        <v>0</v>
      </c>
      <c r="G149" s="74">
        <v>0</v>
      </c>
      <c r="H149" s="74">
        <v>0</v>
      </c>
      <c r="I149" s="74">
        <v>0</v>
      </c>
      <c r="J149" s="74">
        <v>0</v>
      </c>
      <c r="K149" s="61">
        <f t="shared" si="11"/>
        <v>35000</v>
      </c>
      <c r="L149" s="62"/>
      <c r="M149" s="63"/>
      <c r="N149" s="67"/>
      <c r="O149" s="42">
        <v>0</v>
      </c>
      <c r="P149" s="42">
        <v>35000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f t="shared" si="12"/>
        <v>35000</v>
      </c>
      <c r="W149" s="70"/>
    </row>
    <row r="150" spans="1:23" ht="12.75">
      <c r="A150" s="4" t="s">
        <v>286</v>
      </c>
      <c r="B150" s="72" t="s">
        <v>264</v>
      </c>
      <c r="C150" s="72" t="s">
        <v>7</v>
      </c>
      <c r="D150" s="74">
        <f>10000</f>
        <v>10000</v>
      </c>
      <c r="E150" s="74">
        <v>0</v>
      </c>
      <c r="F150" s="74">
        <v>0</v>
      </c>
      <c r="G150" s="74">
        <v>0</v>
      </c>
      <c r="H150" s="74">
        <f>25000+31700+28000+15000+20000+25000+20000</f>
        <v>164700</v>
      </c>
      <c r="I150" s="74">
        <v>0</v>
      </c>
      <c r="J150" s="74">
        <v>0</v>
      </c>
      <c r="K150" s="61">
        <f t="shared" si="11"/>
        <v>174700</v>
      </c>
      <c r="L150" s="62"/>
      <c r="M150" s="63"/>
      <c r="N150" s="64"/>
      <c r="O150" s="42">
        <v>10000</v>
      </c>
      <c r="P150" s="42">
        <v>0</v>
      </c>
      <c r="Q150" s="42">
        <v>0</v>
      </c>
      <c r="R150" s="42">
        <v>0</v>
      </c>
      <c r="S150" s="42">
        <v>164700</v>
      </c>
      <c r="T150" s="42">
        <v>0</v>
      </c>
      <c r="U150" s="42">
        <v>0</v>
      </c>
      <c r="V150" s="42">
        <f t="shared" si="12"/>
        <v>174700</v>
      </c>
      <c r="W150" s="70"/>
    </row>
    <row r="151" spans="1:23" ht="12.75">
      <c r="A151" s="4" t="s">
        <v>235</v>
      </c>
      <c r="B151" s="72" t="s">
        <v>329</v>
      </c>
      <c r="C151" s="72" t="s">
        <v>90</v>
      </c>
      <c r="D151" s="74">
        <v>0</v>
      </c>
      <c r="E151" s="74">
        <v>100000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61">
        <f t="shared" si="11"/>
        <v>100000</v>
      </c>
      <c r="L151" s="62"/>
      <c r="M151" s="63"/>
      <c r="N151" s="64"/>
      <c r="O151" s="42">
        <v>0</v>
      </c>
      <c r="P151" s="42">
        <v>100000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f t="shared" si="12"/>
        <v>100000</v>
      </c>
      <c r="W151" s="70"/>
    </row>
    <row r="152" spans="2:23" ht="12.75">
      <c r="B152" s="72" t="s">
        <v>33</v>
      </c>
      <c r="C152" s="72" t="s">
        <v>352</v>
      </c>
      <c r="D152" s="74">
        <f>9000+7500+40000</f>
        <v>56500</v>
      </c>
      <c r="E152" s="74">
        <f>70000+20000+20000</f>
        <v>110000</v>
      </c>
      <c r="F152" s="74">
        <v>0</v>
      </c>
      <c r="G152" s="74">
        <v>0</v>
      </c>
      <c r="H152" s="74">
        <f>12500+12500+21000</f>
        <v>46000</v>
      </c>
      <c r="I152" s="74">
        <v>0</v>
      </c>
      <c r="J152" s="74">
        <v>0</v>
      </c>
      <c r="K152" s="61"/>
      <c r="L152" s="62"/>
      <c r="M152" s="63"/>
      <c r="N152" s="30"/>
      <c r="O152" s="42">
        <v>56500</v>
      </c>
      <c r="P152" s="42">
        <v>110000</v>
      </c>
      <c r="Q152" s="42">
        <v>0</v>
      </c>
      <c r="R152" s="42">
        <v>0</v>
      </c>
      <c r="S152" s="42">
        <v>46000</v>
      </c>
      <c r="T152" s="42">
        <v>0</v>
      </c>
      <c r="U152" s="42">
        <v>0</v>
      </c>
      <c r="V152" s="42">
        <f t="shared" si="12"/>
        <v>212500</v>
      </c>
      <c r="W152" s="70"/>
    </row>
    <row r="153" spans="1:23" ht="12.75">
      <c r="A153" s="4" t="s">
        <v>265</v>
      </c>
      <c r="B153" s="72" t="s">
        <v>347</v>
      </c>
      <c r="C153" s="72" t="s">
        <v>351</v>
      </c>
      <c r="D153" s="74">
        <v>0</v>
      </c>
      <c r="E153" s="74">
        <v>75000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26">
        <f aca="true" t="shared" si="13" ref="K153:K164">SUM(D153:J153)</f>
        <v>75000</v>
      </c>
      <c r="L153" s="6"/>
      <c r="M153" s="31"/>
      <c r="N153" s="64"/>
      <c r="O153" s="42">
        <v>0</v>
      </c>
      <c r="P153" s="42">
        <v>75000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f t="shared" si="12"/>
        <v>75000</v>
      </c>
      <c r="W153" s="70"/>
    </row>
    <row r="154" spans="1:23" ht="12.75">
      <c r="A154" s="4" t="s">
        <v>236</v>
      </c>
      <c r="B154" s="72" t="s">
        <v>34</v>
      </c>
      <c r="C154" s="72" t="s">
        <v>3</v>
      </c>
      <c r="D154" s="74">
        <f>12918+8500</f>
        <v>21418</v>
      </c>
      <c r="E154" s="74">
        <v>0</v>
      </c>
      <c r="F154" s="74">
        <v>0</v>
      </c>
      <c r="G154" s="74">
        <v>0</v>
      </c>
      <c r="H154" s="74">
        <v>35000</v>
      </c>
      <c r="I154" s="74">
        <v>0</v>
      </c>
      <c r="J154" s="74">
        <v>0</v>
      </c>
      <c r="K154" s="61">
        <f t="shared" si="13"/>
        <v>56418</v>
      </c>
      <c r="L154" s="62"/>
      <c r="M154" s="63"/>
      <c r="N154" s="64"/>
      <c r="O154" s="42">
        <v>21418</v>
      </c>
      <c r="P154" s="42">
        <v>0</v>
      </c>
      <c r="Q154" s="42">
        <v>0</v>
      </c>
      <c r="R154" s="42">
        <v>0</v>
      </c>
      <c r="S154" s="42">
        <v>35000</v>
      </c>
      <c r="T154" s="42">
        <v>0</v>
      </c>
      <c r="U154" s="42">
        <v>0</v>
      </c>
      <c r="V154" s="42">
        <f t="shared" si="12"/>
        <v>56418</v>
      </c>
      <c r="W154" s="70"/>
    </row>
    <row r="155" spans="1:23" ht="12.75">
      <c r="A155" s="4" t="s">
        <v>229</v>
      </c>
      <c r="B155" s="72" t="s">
        <v>266</v>
      </c>
      <c r="C155" s="72" t="s">
        <v>298</v>
      </c>
      <c r="D155" s="74">
        <v>0</v>
      </c>
      <c r="E155" s="74">
        <v>0</v>
      </c>
      <c r="F155" s="74">
        <v>0</v>
      </c>
      <c r="G155" s="74">
        <v>0</v>
      </c>
      <c r="H155" s="74">
        <v>30000</v>
      </c>
      <c r="I155" s="74">
        <v>0</v>
      </c>
      <c r="J155" s="74">
        <v>0</v>
      </c>
      <c r="K155" s="61">
        <f t="shared" si="13"/>
        <v>30000</v>
      </c>
      <c r="L155" s="62"/>
      <c r="M155" s="63"/>
      <c r="N155" s="64"/>
      <c r="O155" s="42">
        <v>0</v>
      </c>
      <c r="P155" s="42">
        <v>0</v>
      </c>
      <c r="Q155" s="42">
        <v>0</v>
      </c>
      <c r="R155" s="42">
        <v>0</v>
      </c>
      <c r="S155" s="42">
        <v>30000</v>
      </c>
      <c r="T155" s="42">
        <v>0</v>
      </c>
      <c r="U155" s="42">
        <v>0</v>
      </c>
      <c r="V155" s="42">
        <f t="shared" si="12"/>
        <v>30000</v>
      </c>
      <c r="W155" s="70"/>
    </row>
    <row r="156" spans="1:23" ht="12.75">
      <c r="A156" s="4" t="s">
        <v>230</v>
      </c>
      <c r="B156" s="72" t="s">
        <v>288</v>
      </c>
      <c r="C156" s="72" t="s">
        <v>5</v>
      </c>
      <c r="D156" s="74">
        <v>20500</v>
      </c>
      <c r="E156" s="74">
        <v>0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61">
        <f t="shared" si="13"/>
        <v>20500</v>
      </c>
      <c r="L156" s="62"/>
      <c r="M156" s="63"/>
      <c r="N156" s="64"/>
      <c r="O156" s="42">
        <v>20500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f t="shared" si="12"/>
        <v>20500</v>
      </c>
      <c r="W156" s="70"/>
    </row>
    <row r="157" spans="1:23" ht="12.75">
      <c r="A157" s="4" t="s">
        <v>287</v>
      </c>
      <c r="B157" s="72" t="s">
        <v>82</v>
      </c>
      <c r="C157" s="72" t="s">
        <v>7</v>
      </c>
      <c r="D157" s="74">
        <v>45000</v>
      </c>
      <c r="E157" s="74">
        <v>0</v>
      </c>
      <c r="F157" s="74">
        <v>0</v>
      </c>
      <c r="G157" s="74">
        <v>0</v>
      </c>
      <c r="H157" s="74">
        <f>18000+36000</f>
        <v>54000</v>
      </c>
      <c r="I157" s="74">
        <v>0</v>
      </c>
      <c r="J157" s="74">
        <v>0</v>
      </c>
      <c r="K157" s="61">
        <f t="shared" si="13"/>
        <v>99000</v>
      </c>
      <c r="L157" s="62"/>
      <c r="M157" s="63"/>
      <c r="N157" s="64"/>
      <c r="O157" s="42">
        <v>45000</v>
      </c>
      <c r="P157" s="42">
        <v>0</v>
      </c>
      <c r="Q157" s="42">
        <v>0</v>
      </c>
      <c r="R157" s="42">
        <v>0</v>
      </c>
      <c r="S157" s="42">
        <v>54000</v>
      </c>
      <c r="T157" s="42">
        <v>0</v>
      </c>
      <c r="U157" s="42">
        <v>0</v>
      </c>
      <c r="V157" s="42">
        <f t="shared" si="12"/>
        <v>99000</v>
      </c>
      <c r="W157" s="70"/>
    </row>
    <row r="158" spans="1:23" ht="12.75">
      <c r="A158" s="4" t="s">
        <v>237</v>
      </c>
      <c r="B158" s="72" t="s">
        <v>121</v>
      </c>
      <c r="C158" s="72" t="s">
        <v>5</v>
      </c>
      <c r="D158" s="74">
        <v>6000</v>
      </c>
      <c r="E158" s="74">
        <v>0</v>
      </c>
      <c r="F158" s="74">
        <v>0</v>
      </c>
      <c r="G158" s="74">
        <v>0</v>
      </c>
      <c r="H158" s="74">
        <v>0</v>
      </c>
      <c r="I158" s="74">
        <v>0</v>
      </c>
      <c r="J158" s="74">
        <v>0</v>
      </c>
      <c r="K158" s="61">
        <f t="shared" si="13"/>
        <v>6000</v>
      </c>
      <c r="L158" s="62"/>
      <c r="M158" s="63"/>
      <c r="N158" s="65"/>
      <c r="O158" s="42">
        <v>6000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f t="shared" si="12"/>
        <v>6000</v>
      </c>
      <c r="W158" s="70"/>
    </row>
    <row r="159" spans="1:23" ht="12.75">
      <c r="A159" s="4" t="s">
        <v>244</v>
      </c>
      <c r="B159" s="72" t="s">
        <v>296</v>
      </c>
      <c r="C159" s="72" t="s">
        <v>8</v>
      </c>
      <c r="D159" s="74">
        <f>37000+10000</f>
        <v>47000</v>
      </c>
      <c r="E159" s="74">
        <v>0</v>
      </c>
      <c r="F159" s="74">
        <v>0</v>
      </c>
      <c r="G159" s="74">
        <v>0</v>
      </c>
      <c r="H159" s="74">
        <v>20000</v>
      </c>
      <c r="I159" s="74">
        <v>0</v>
      </c>
      <c r="J159" s="74">
        <v>0</v>
      </c>
      <c r="K159" s="61">
        <f t="shared" si="13"/>
        <v>67000</v>
      </c>
      <c r="L159" s="62"/>
      <c r="M159" s="63"/>
      <c r="N159" s="65"/>
      <c r="O159" s="42">
        <v>47000</v>
      </c>
      <c r="P159" s="42">
        <v>0</v>
      </c>
      <c r="Q159" s="42">
        <v>0</v>
      </c>
      <c r="R159" s="42">
        <v>0</v>
      </c>
      <c r="S159" s="42">
        <v>20000</v>
      </c>
      <c r="T159" s="42">
        <v>0</v>
      </c>
      <c r="U159" s="42">
        <v>0</v>
      </c>
      <c r="V159" s="42">
        <f t="shared" si="12"/>
        <v>67000</v>
      </c>
      <c r="W159" s="70"/>
    </row>
    <row r="160" spans="1:23" ht="12.75">
      <c r="A160" s="4" t="s">
        <v>263</v>
      </c>
      <c r="B160" s="72" t="s">
        <v>348</v>
      </c>
      <c r="C160" s="72" t="s">
        <v>9</v>
      </c>
      <c r="D160" s="74">
        <v>40000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61">
        <f t="shared" si="13"/>
        <v>40000</v>
      </c>
      <c r="L160" s="62"/>
      <c r="M160" s="63"/>
      <c r="N160" s="64"/>
      <c r="O160" s="42">
        <v>40000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f t="shared" si="12"/>
        <v>40000</v>
      </c>
      <c r="W160" s="70"/>
    </row>
    <row r="161" spans="1:23" ht="12.75">
      <c r="A161" s="4" t="s">
        <v>245</v>
      </c>
      <c r="B161" s="72" t="s">
        <v>349</v>
      </c>
      <c r="C161" s="72" t="s">
        <v>9</v>
      </c>
      <c r="D161" s="74">
        <v>16500</v>
      </c>
      <c r="E161" s="74">
        <v>0</v>
      </c>
      <c r="F161" s="74">
        <v>0</v>
      </c>
      <c r="G161" s="74">
        <v>0</v>
      </c>
      <c r="H161" s="74">
        <v>0</v>
      </c>
      <c r="I161" s="74">
        <v>0</v>
      </c>
      <c r="J161" s="74">
        <v>0</v>
      </c>
      <c r="K161" s="61">
        <f t="shared" si="13"/>
        <v>16500</v>
      </c>
      <c r="L161" s="62"/>
      <c r="M161" s="63"/>
      <c r="N161" s="64"/>
      <c r="O161" s="42">
        <v>16500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f t="shared" si="12"/>
        <v>16500</v>
      </c>
      <c r="W161" s="70"/>
    </row>
    <row r="162" spans="1:23" ht="12.75">
      <c r="A162" s="4" t="s">
        <v>239</v>
      </c>
      <c r="B162" s="72" t="s">
        <v>137</v>
      </c>
      <c r="C162" s="72" t="s">
        <v>8</v>
      </c>
      <c r="D162" s="74">
        <v>600</v>
      </c>
      <c r="E162" s="74">
        <v>0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61">
        <f t="shared" si="13"/>
        <v>600</v>
      </c>
      <c r="L162" s="62"/>
      <c r="M162" s="63"/>
      <c r="N162" s="64"/>
      <c r="O162" s="42">
        <v>600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f t="shared" si="12"/>
        <v>600</v>
      </c>
      <c r="W162" s="70"/>
    </row>
    <row r="163" spans="1:23" ht="12.75">
      <c r="A163" s="4" t="s">
        <v>240</v>
      </c>
      <c r="B163" s="72" t="s">
        <v>350</v>
      </c>
      <c r="C163" s="72" t="s">
        <v>8</v>
      </c>
      <c r="D163" s="74">
        <v>5000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61">
        <f t="shared" si="13"/>
        <v>5000</v>
      </c>
      <c r="L163" s="62"/>
      <c r="M163" s="63"/>
      <c r="N163" s="64"/>
      <c r="O163" s="42">
        <v>5000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f t="shared" si="12"/>
        <v>5000</v>
      </c>
      <c r="W163" s="70"/>
    </row>
    <row r="164" spans="1:23" s="3" customFormat="1" ht="12.75">
      <c r="A164" s="3" t="s">
        <v>241</v>
      </c>
      <c r="B164" s="72" t="s">
        <v>35</v>
      </c>
      <c r="C164" s="72" t="s">
        <v>5</v>
      </c>
      <c r="D164" s="74">
        <f>1200+2000+2000</f>
        <v>5200</v>
      </c>
      <c r="E164" s="74">
        <v>0</v>
      </c>
      <c r="F164" s="74">
        <v>0</v>
      </c>
      <c r="G164" s="74">
        <v>0</v>
      </c>
      <c r="H164" s="74">
        <v>0</v>
      </c>
      <c r="I164" s="74">
        <v>0</v>
      </c>
      <c r="J164" s="74">
        <v>0</v>
      </c>
      <c r="K164" s="61">
        <f t="shared" si="13"/>
        <v>5200</v>
      </c>
      <c r="L164" s="66"/>
      <c r="M164" s="63"/>
      <c r="N164" s="64"/>
      <c r="O164" s="42">
        <v>5200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f t="shared" si="12"/>
        <v>5200</v>
      </c>
      <c r="W164" s="70"/>
    </row>
    <row r="165" spans="2:23" s="3" customFormat="1" ht="12.75">
      <c r="B165" s="72" t="s">
        <v>16</v>
      </c>
      <c r="C165" s="72" t="s">
        <v>3</v>
      </c>
      <c r="D165" s="74">
        <f>5000+5000</f>
        <v>10000</v>
      </c>
      <c r="E165" s="74">
        <v>0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61"/>
      <c r="L165" s="66"/>
      <c r="M165" s="63"/>
      <c r="N165" s="30"/>
      <c r="O165" s="42">
        <v>10000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f t="shared" si="12"/>
        <v>10000</v>
      </c>
      <c r="W165" s="70"/>
    </row>
    <row r="166" spans="1:23" s="3" customFormat="1" ht="12.75">
      <c r="A166" s="3" t="s">
        <v>267</v>
      </c>
      <c r="B166" s="72" t="s">
        <v>122</v>
      </c>
      <c r="C166" s="72" t="s">
        <v>7</v>
      </c>
      <c r="D166" s="74">
        <v>10000</v>
      </c>
      <c r="E166" s="74">
        <v>25000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26">
        <f>SUM(D166:J166)</f>
        <v>35000</v>
      </c>
      <c r="L166" s="2"/>
      <c r="M166" s="31"/>
      <c r="N166" s="30"/>
      <c r="O166" s="42">
        <v>10000</v>
      </c>
      <c r="P166" s="42">
        <v>25000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f t="shared" si="12"/>
        <v>35000</v>
      </c>
      <c r="W166" s="70"/>
    </row>
    <row r="167" spans="1:23" ht="12.75">
      <c r="A167" s="3" t="s">
        <v>246</v>
      </c>
      <c r="B167" s="72" t="s">
        <v>56</v>
      </c>
      <c r="C167" s="72" t="s">
        <v>90</v>
      </c>
      <c r="D167" s="74">
        <f>10500+30000</f>
        <v>40500</v>
      </c>
      <c r="E167" s="74">
        <v>0</v>
      </c>
      <c r="F167" s="74">
        <v>0</v>
      </c>
      <c r="G167" s="74">
        <v>0</v>
      </c>
      <c r="H167" s="74">
        <f>70000+20000</f>
        <v>90000</v>
      </c>
      <c r="I167" s="74">
        <v>0</v>
      </c>
      <c r="J167" s="74">
        <v>0</v>
      </c>
      <c r="K167" s="26">
        <f>SUM(D167:J167)</f>
        <v>130500</v>
      </c>
      <c r="L167" s="6"/>
      <c r="M167" s="31"/>
      <c r="N167" s="30"/>
      <c r="O167" s="42">
        <v>40500</v>
      </c>
      <c r="P167" s="42">
        <v>0</v>
      </c>
      <c r="Q167" s="42">
        <v>0</v>
      </c>
      <c r="R167" s="42">
        <v>0</v>
      </c>
      <c r="S167" s="42">
        <v>90000</v>
      </c>
      <c r="T167" s="42">
        <v>0</v>
      </c>
      <c r="U167" s="42">
        <v>0</v>
      </c>
      <c r="V167" s="42">
        <f t="shared" si="12"/>
        <v>130500</v>
      </c>
      <c r="W167" s="70"/>
    </row>
    <row r="168" spans="1:23" ht="12.75">
      <c r="A168" s="3" t="s">
        <v>242</v>
      </c>
      <c r="B168" s="73" t="s">
        <v>297</v>
      </c>
      <c r="C168" s="73" t="s">
        <v>5</v>
      </c>
      <c r="D168" s="75">
        <f>5000</f>
        <v>5000</v>
      </c>
      <c r="E168" s="74">
        <v>0</v>
      </c>
      <c r="F168" s="75">
        <v>2265.066</v>
      </c>
      <c r="G168" s="75">
        <v>0</v>
      </c>
      <c r="H168" s="75">
        <v>0</v>
      </c>
      <c r="I168" s="75">
        <v>0</v>
      </c>
      <c r="J168" s="75">
        <v>0</v>
      </c>
      <c r="K168" s="26">
        <f>SUM(D168:J168)</f>
        <v>7265.066</v>
      </c>
      <c r="L168" s="6"/>
      <c r="M168" s="31"/>
      <c r="N168" s="30"/>
      <c r="O168" s="42">
        <v>5000</v>
      </c>
      <c r="P168" s="42">
        <v>0</v>
      </c>
      <c r="Q168" s="42">
        <v>2265</v>
      </c>
      <c r="R168" s="42">
        <v>0</v>
      </c>
      <c r="S168" s="42">
        <v>0</v>
      </c>
      <c r="T168" s="42">
        <v>0</v>
      </c>
      <c r="U168" s="42">
        <v>0</v>
      </c>
      <c r="V168" s="42">
        <f>SUM(O168:U168)</f>
        <v>7265</v>
      </c>
      <c r="W168" s="70"/>
    </row>
    <row r="169" spans="2:22" ht="12.75">
      <c r="B169" s="57"/>
      <c r="C169" s="57"/>
      <c r="D169" s="27"/>
      <c r="E169" s="27"/>
      <c r="F169" s="27"/>
      <c r="G169" s="27"/>
      <c r="H169" s="27"/>
      <c r="I169" s="27"/>
      <c r="J169" s="27"/>
      <c r="K169" s="6"/>
      <c r="N169" s="30"/>
      <c r="O169" s="43"/>
      <c r="P169" s="43"/>
      <c r="Q169" s="43"/>
      <c r="R169" s="43"/>
      <c r="S169" s="43"/>
      <c r="T169" s="43"/>
      <c r="U169" s="43"/>
      <c r="V169" s="43"/>
    </row>
    <row r="170" spans="2:167" s="10" customFormat="1" ht="13.5" thickBot="1">
      <c r="B170" s="38" t="s">
        <v>48</v>
      </c>
      <c r="C170" s="38"/>
      <c r="D170" s="39">
        <f>SUM(D8:D168)+1</f>
        <v>2813651.6959999995</v>
      </c>
      <c r="E170" s="39">
        <f aca="true" t="shared" si="14" ref="E170:K170">SUM(E8:E168)</f>
        <v>1387500</v>
      </c>
      <c r="F170" s="39">
        <f t="shared" si="14"/>
        <v>9627.401999999998</v>
      </c>
      <c r="G170" s="39">
        <f t="shared" si="14"/>
        <v>4116.9</v>
      </c>
      <c r="H170" s="39">
        <f t="shared" si="14"/>
        <v>3244100</v>
      </c>
      <c r="I170" s="39">
        <f t="shared" si="14"/>
        <v>204789</v>
      </c>
      <c r="J170" s="39">
        <f t="shared" si="14"/>
        <v>0</v>
      </c>
      <c r="K170" s="8">
        <f t="shared" si="14"/>
        <v>7142883.998</v>
      </c>
      <c r="L170" s="8"/>
      <c r="N170" s="20"/>
      <c r="O170" s="44">
        <f>SUM(O8:O168)+1</f>
        <v>2813651</v>
      </c>
      <c r="P170" s="44">
        <f aca="true" t="shared" si="15" ref="P170:U170">SUM(P8:P168)</f>
        <v>1387500</v>
      </c>
      <c r="Q170" s="44">
        <f t="shared" si="15"/>
        <v>9627</v>
      </c>
      <c r="R170" s="44">
        <f t="shared" si="15"/>
        <v>4117</v>
      </c>
      <c r="S170" s="44">
        <f t="shared" si="15"/>
        <v>3244100</v>
      </c>
      <c r="T170" s="44">
        <f t="shared" si="15"/>
        <v>204789</v>
      </c>
      <c r="U170" s="44">
        <f t="shared" si="15"/>
        <v>0</v>
      </c>
      <c r="V170" s="44">
        <f>SUM(O170:U170)</f>
        <v>7663784</v>
      </c>
      <c r="W170" s="5"/>
      <c r="X170" s="9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2:22" ht="12.75">
      <c r="B171" s="46"/>
      <c r="C171" s="47"/>
      <c r="D171" s="48"/>
      <c r="E171" s="48"/>
      <c r="F171" s="45"/>
      <c r="G171" s="45"/>
      <c r="H171" s="48"/>
      <c r="I171" s="48"/>
      <c r="J171" s="48"/>
      <c r="K171" s="45">
        <f>SUM(D170:J170)</f>
        <v>7663784.998</v>
      </c>
      <c r="L171" s="46"/>
      <c r="M171" s="46"/>
      <c r="N171" s="49"/>
      <c r="O171" s="43"/>
      <c r="P171" s="43"/>
      <c r="Q171" s="43"/>
      <c r="R171" s="43"/>
      <c r="S171" s="43"/>
      <c r="T171" s="43"/>
      <c r="U171" s="43"/>
      <c r="V171" s="43"/>
    </row>
    <row r="172" spans="2:22" ht="12.75">
      <c r="B172" s="50" t="s">
        <v>124</v>
      </c>
      <c r="C172" s="46"/>
      <c r="D172" s="46"/>
      <c r="E172" s="46"/>
      <c r="F172" s="46"/>
      <c r="G172" s="45"/>
      <c r="H172" s="46"/>
      <c r="I172" s="46"/>
      <c r="J172" s="46"/>
      <c r="K172" s="46"/>
      <c r="L172" s="46"/>
      <c r="M172" s="46"/>
      <c r="N172" s="55"/>
      <c r="O172" s="46"/>
      <c r="P172" s="42"/>
      <c r="Q172" s="42"/>
      <c r="R172" s="42"/>
      <c r="S172" s="42"/>
      <c r="T172" s="42"/>
      <c r="U172" s="42"/>
      <c r="V172" s="42"/>
    </row>
    <row r="173" spans="2:22" ht="12.75">
      <c r="B173" s="51" t="s">
        <v>40</v>
      </c>
      <c r="C173" s="51"/>
      <c r="D173" s="51" t="s">
        <v>0</v>
      </c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</row>
    <row r="174" spans="2:22" ht="12.75">
      <c r="B174" s="52"/>
      <c r="C174" s="46"/>
      <c r="D174" s="52"/>
      <c r="E174" s="45"/>
      <c r="F174" s="45"/>
      <c r="G174" s="45"/>
      <c r="H174" s="45"/>
      <c r="I174" s="45"/>
      <c r="J174" s="45"/>
      <c r="K174" s="45"/>
      <c r="L174" s="45"/>
      <c r="M174" s="46"/>
      <c r="N174" s="53" t="s">
        <v>354</v>
      </c>
      <c r="O174" s="42"/>
      <c r="P174" s="42"/>
      <c r="Q174" s="42"/>
      <c r="R174" s="42"/>
      <c r="S174" s="42"/>
      <c r="T174" s="42"/>
      <c r="U174" s="42"/>
      <c r="V174" s="42"/>
    </row>
    <row r="175" spans="2:22" ht="12.75">
      <c r="B175" s="46" t="s">
        <v>146</v>
      </c>
      <c r="C175" s="4" t="s">
        <v>6</v>
      </c>
      <c r="D175" s="50">
        <v>500</v>
      </c>
      <c r="E175" s="45"/>
      <c r="F175" s="45"/>
      <c r="G175" s="45"/>
      <c r="H175" s="45"/>
      <c r="I175" s="45"/>
      <c r="J175" s="45"/>
      <c r="K175" s="45">
        <f>SUM(D175:J175)</f>
        <v>500</v>
      </c>
      <c r="L175" s="46"/>
      <c r="M175" s="46"/>
      <c r="N175" s="49"/>
      <c r="O175" s="42">
        <v>500</v>
      </c>
      <c r="P175" s="43"/>
      <c r="Q175" s="43"/>
      <c r="R175" s="43"/>
      <c r="S175" s="43"/>
      <c r="T175" s="43"/>
      <c r="U175" s="43"/>
      <c r="V175" s="43">
        <v>500</v>
      </c>
    </row>
    <row r="176" spans="2:22" ht="12.75">
      <c r="B176" s="52"/>
      <c r="C176" s="46"/>
      <c r="D176" s="52"/>
      <c r="E176" s="48"/>
      <c r="F176" s="45"/>
      <c r="G176" s="45"/>
      <c r="H176" s="45"/>
      <c r="I176" s="45"/>
      <c r="J176" s="45"/>
      <c r="K176" s="45"/>
      <c r="L176" s="46"/>
      <c r="M176" s="46"/>
      <c r="N176" s="53"/>
      <c r="O176" s="42"/>
      <c r="P176" s="42"/>
      <c r="Q176" s="42"/>
      <c r="R176" s="42"/>
      <c r="S176" s="42"/>
      <c r="T176" s="42"/>
      <c r="U176" s="42"/>
      <c r="V176" s="42"/>
    </row>
    <row r="177" spans="2:22" ht="13.5" thickBot="1">
      <c r="B177" s="38" t="s">
        <v>123</v>
      </c>
      <c r="C177" s="38"/>
      <c r="D177" s="39">
        <f>D175</f>
        <v>500</v>
      </c>
      <c r="E177" s="39">
        <f aca="true" t="shared" si="16" ref="E177:J177">E175</f>
        <v>0</v>
      </c>
      <c r="F177" s="39">
        <f t="shared" si="16"/>
        <v>0</v>
      </c>
      <c r="G177" s="39">
        <f t="shared" si="16"/>
        <v>0</v>
      </c>
      <c r="H177" s="39">
        <f t="shared" si="16"/>
        <v>0</v>
      </c>
      <c r="I177" s="39">
        <f t="shared" si="16"/>
        <v>0</v>
      </c>
      <c r="J177" s="39">
        <f t="shared" si="16"/>
        <v>0</v>
      </c>
      <c r="K177" s="8">
        <f>K175</f>
        <v>500</v>
      </c>
      <c r="L177" s="8"/>
      <c r="M177" s="10"/>
      <c r="N177" s="20"/>
      <c r="O177" s="44">
        <v>500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f>SUM(V175:V176)</f>
        <v>500</v>
      </c>
    </row>
    <row r="178" spans="1:22" ht="12.75">
      <c r="A178" s="40"/>
      <c r="B178" s="46"/>
      <c r="C178" s="47"/>
      <c r="D178" s="48"/>
      <c r="E178" s="48"/>
      <c r="F178" s="48"/>
      <c r="G178" s="48"/>
      <c r="H178" s="48"/>
      <c r="I178" s="48"/>
      <c r="J178" s="48"/>
      <c r="K178" s="46"/>
      <c r="L178" s="54"/>
      <c r="M178" s="46"/>
      <c r="N178" s="55"/>
      <c r="O178" s="46"/>
      <c r="P178" s="46"/>
      <c r="Q178" s="46"/>
      <c r="R178" s="46"/>
      <c r="S178" s="46"/>
      <c r="T178" s="46"/>
      <c r="U178" s="46"/>
      <c r="V178" s="42"/>
    </row>
    <row r="179" spans="2:22" ht="12.75">
      <c r="B179" s="50" t="s">
        <v>1</v>
      </c>
      <c r="C179" s="47"/>
      <c r="D179" s="48"/>
      <c r="E179" s="48"/>
      <c r="F179" s="48"/>
      <c r="G179" s="48"/>
      <c r="H179" s="48"/>
      <c r="I179" s="48"/>
      <c r="J179" s="48"/>
      <c r="K179" s="47"/>
      <c r="L179" s="54"/>
      <c r="M179" s="46"/>
      <c r="N179" s="55"/>
      <c r="O179" s="46"/>
      <c r="P179" s="46"/>
      <c r="Q179" s="46"/>
      <c r="R179" s="46"/>
      <c r="S179" s="46"/>
      <c r="T179" s="46"/>
      <c r="U179" s="46"/>
      <c r="V179" s="42"/>
    </row>
    <row r="180" spans="2:22" ht="12.75">
      <c r="B180" s="43" t="s">
        <v>40</v>
      </c>
      <c r="C180" s="46"/>
      <c r="D180" s="45"/>
      <c r="E180" s="45"/>
      <c r="F180" s="45"/>
      <c r="G180" s="45"/>
      <c r="H180" s="45"/>
      <c r="I180" s="45"/>
      <c r="J180" s="45"/>
      <c r="K180" s="46"/>
      <c r="L180" s="46"/>
      <c r="M180" s="46"/>
      <c r="N180" s="55"/>
      <c r="O180" s="46"/>
      <c r="P180" s="46"/>
      <c r="Q180" s="46"/>
      <c r="R180" s="46"/>
      <c r="S180" s="46"/>
      <c r="T180" s="46"/>
      <c r="U180" s="46"/>
      <c r="V180" s="42"/>
    </row>
    <row r="181" spans="2:22" ht="12.75">
      <c r="B181" s="46" t="s">
        <v>76</v>
      </c>
      <c r="C181" s="28" t="s">
        <v>7</v>
      </c>
      <c r="D181" s="25"/>
      <c r="E181" s="25"/>
      <c r="F181" s="25"/>
      <c r="G181" s="25"/>
      <c r="H181" s="25"/>
      <c r="I181" s="25"/>
      <c r="J181" s="25"/>
      <c r="K181" s="26"/>
      <c r="L181" s="6"/>
      <c r="M181" s="31"/>
      <c r="N181" s="30"/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5">
        <v>1318.027</v>
      </c>
      <c r="V181" s="42">
        <f aca="true" t="shared" si="17" ref="V181:V186">U181</f>
        <v>1318.027</v>
      </c>
    </row>
    <row r="182" spans="1:22" ht="12.75">
      <c r="A182" s="40"/>
      <c r="B182" s="46" t="s">
        <v>146</v>
      </c>
      <c r="C182" s="28" t="s">
        <v>6</v>
      </c>
      <c r="D182" s="25"/>
      <c r="E182" s="25"/>
      <c r="F182" s="25"/>
      <c r="G182" s="25"/>
      <c r="H182" s="25"/>
      <c r="I182" s="25"/>
      <c r="J182" s="25"/>
      <c r="K182" s="26"/>
      <c r="L182" s="2"/>
      <c r="M182" s="31"/>
      <c r="N182" s="30"/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5">
        <v>1957.827</v>
      </c>
      <c r="V182" s="42">
        <f t="shared" si="17"/>
        <v>1957.827</v>
      </c>
    </row>
    <row r="183" spans="2:22" ht="12.75">
      <c r="B183" s="43" t="s">
        <v>251</v>
      </c>
      <c r="C183" s="28" t="s">
        <v>4</v>
      </c>
      <c r="D183" s="25"/>
      <c r="E183" s="25"/>
      <c r="F183" s="25"/>
      <c r="G183" s="25"/>
      <c r="H183" s="25"/>
      <c r="I183" s="25"/>
      <c r="J183" s="25"/>
      <c r="K183" s="26"/>
      <c r="L183" s="2"/>
      <c r="M183" s="31"/>
      <c r="N183" s="30"/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5">
        <v>1478.716</v>
      </c>
      <c r="V183" s="42">
        <f t="shared" si="17"/>
        <v>1478.716</v>
      </c>
    </row>
    <row r="184" spans="2:22" ht="12.75">
      <c r="B184" s="46" t="s">
        <v>36</v>
      </c>
      <c r="C184" s="28" t="s">
        <v>3</v>
      </c>
      <c r="D184" s="25"/>
      <c r="E184" s="25"/>
      <c r="F184" s="25"/>
      <c r="G184" s="25"/>
      <c r="H184" s="25"/>
      <c r="I184" s="25"/>
      <c r="J184" s="25"/>
      <c r="K184" s="26"/>
      <c r="L184" s="6"/>
      <c r="M184" s="31"/>
      <c r="N184" s="30"/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5">
        <v>2032.26</v>
      </c>
      <c r="V184" s="42">
        <f t="shared" si="17"/>
        <v>2032.26</v>
      </c>
    </row>
    <row r="185" spans="2:22" ht="12.75">
      <c r="B185" s="46" t="s">
        <v>280</v>
      </c>
      <c r="C185" s="28" t="s">
        <v>5</v>
      </c>
      <c r="D185" s="25"/>
      <c r="E185" s="25"/>
      <c r="F185" s="25"/>
      <c r="G185" s="25"/>
      <c r="H185" s="25"/>
      <c r="I185" s="25"/>
      <c r="J185" s="25"/>
      <c r="K185" s="26"/>
      <c r="L185" s="6"/>
      <c r="M185" s="31"/>
      <c r="N185" s="30"/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5">
        <v>1462.056</v>
      </c>
      <c r="V185" s="42">
        <f t="shared" si="17"/>
        <v>1462.056</v>
      </c>
    </row>
    <row r="186" spans="2:22" ht="12.75">
      <c r="B186" s="46" t="s">
        <v>264</v>
      </c>
      <c r="C186" s="57" t="s">
        <v>7</v>
      </c>
      <c r="D186" s="27"/>
      <c r="E186" s="25"/>
      <c r="F186" s="27"/>
      <c r="G186" s="27"/>
      <c r="H186" s="27"/>
      <c r="I186" s="27"/>
      <c r="J186" s="27"/>
      <c r="K186" s="26"/>
      <c r="L186" s="6"/>
      <c r="M186" s="31"/>
      <c r="N186" s="30"/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5">
        <v>1463.131</v>
      </c>
      <c r="V186" s="42">
        <f t="shared" si="17"/>
        <v>1463.131</v>
      </c>
    </row>
    <row r="187" spans="2:22" ht="12.75">
      <c r="B187" s="52"/>
      <c r="C187" s="57"/>
      <c r="D187" s="27"/>
      <c r="E187" s="27"/>
      <c r="F187" s="27"/>
      <c r="G187" s="27"/>
      <c r="H187" s="27"/>
      <c r="I187" s="27"/>
      <c r="J187" s="27"/>
      <c r="K187" s="6"/>
      <c r="N187" s="30"/>
      <c r="O187" s="43"/>
      <c r="P187" s="43"/>
      <c r="Q187" s="43"/>
      <c r="R187" s="43"/>
      <c r="S187" s="43"/>
      <c r="T187" s="43"/>
      <c r="U187" s="43"/>
      <c r="V187" s="43"/>
    </row>
    <row r="188" spans="2:22" ht="13.5" thickBot="1">
      <c r="B188" s="56" t="s">
        <v>320</v>
      </c>
      <c r="C188" s="38"/>
      <c r="D188" s="39"/>
      <c r="E188" s="39"/>
      <c r="F188" s="39"/>
      <c r="G188" s="39"/>
      <c r="H188" s="39"/>
      <c r="I188" s="39"/>
      <c r="J188" s="39"/>
      <c r="K188" s="8"/>
      <c r="L188" s="8"/>
      <c r="M188" s="10"/>
      <c r="N188" s="20"/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f>SUM(U181:U186)</f>
        <v>9712.017</v>
      </c>
      <c r="V188" s="44">
        <f>SUM(V181:V186)</f>
        <v>9712.017</v>
      </c>
    </row>
    <row r="189" spans="2:22" ht="12.75">
      <c r="B189" s="46"/>
      <c r="C189" s="46"/>
      <c r="D189" s="46"/>
      <c r="E189" s="46"/>
      <c r="F189" s="46"/>
      <c r="G189" s="45"/>
      <c r="H189" s="46"/>
      <c r="I189" s="46"/>
      <c r="J189" s="46"/>
      <c r="K189" s="46"/>
      <c r="L189" s="46"/>
      <c r="M189" s="46"/>
      <c r="N189" s="55"/>
      <c r="O189" s="46"/>
      <c r="P189" s="46"/>
      <c r="Q189" s="46"/>
      <c r="R189" s="46"/>
      <c r="S189" s="46"/>
      <c r="T189" s="46"/>
      <c r="U189" s="46"/>
      <c r="V189" s="46"/>
    </row>
    <row r="190" spans="2:22" ht="13.5" thickBot="1">
      <c r="B190" s="38" t="s">
        <v>2</v>
      </c>
      <c r="C190" s="38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58"/>
      <c r="O190" s="44">
        <f>O170+O177+O188</f>
        <v>2814151</v>
      </c>
      <c r="P190" s="44">
        <f aca="true" t="shared" si="18" ref="P190:U190">P170+P177+P188</f>
        <v>1387500</v>
      </c>
      <c r="Q190" s="44">
        <f t="shared" si="18"/>
        <v>9627</v>
      </c>
      <c r="R190" s="44">
        <f t="shared" si="18"/>
        <v>4117</v>
      </c>
      <c r="S190" s="44">
        <f t="shared" si="18"/>
        <v>3244100</v>
      </c>
      <c r="T190" s="44">
        <f t="shared" si="18"/>
        <v>204789</v>
      </c>
      <c r="U190" s="44">
        <f t="shared" si="18"/>
        <v>9712.017</v>
      </c>
      <c r="V190" s="44">
        <f>V170+V177+V188</f>
        <v>7673996.017</v>
      </c>
    </row>
    <row r="191" spans="2:22" ht="12.75">
      <c r="B191" s="50"/>
      <c r="C191" s="46"/>
      <c r="D191" s="46"/>
      <c r="E191" s="46"/>
      <c r="F191" s="46"/>
      <c r="G191" s="45"/>
      <c r="H191" s="46"/>
      <c r="I191" s="46"/>
      <c r="J191" s="46"/>
      <c r="K191" s="46"/>
      <c r="L191" s="46"/>
      <c r="M191" s="46"/>
      <c r="N191" s="55"/>
      <c r="O191" s="46"/>
      <c r="P191" s="46"/>
      <c r="Q191" s="46"/>
      <c r="R191" s="46"/>
      <c r="S191" s="46"/>
      <c r="T191" s="46"/>
      <c r="U191" s="45"/>
      <c r="V191" s="46"/>
    </row>
    <row r="192" spans="2:22" ht="12.75">
      <c r="B192" s="50"/>
      <c r="C192" s="46"/>
      <c r="D192" s="46"/>
      <c r="E192" s="46"/>
      <c r="F192" s="46"/>
      <c r="G192" s="45"/>
      <c r="H192" s="46"/>
      <c r="I192" s="46"/>
      <c r="J192" s="46"/>
      <c r="K192" s="46"/>
      <c r="L192" s="46"/>
      <c r="M192" s="46"/>
      <c r="N192" s="55"/>
      <c r="O192" s="46"/>
      <c r="P192" s="46"/>
      <c r="Q192" s="46"/>
      <c r="R192" s="46"/>
      <c r="S192" s="46"/>
      <c r="T192" s="46"/>
      <c r="U192" s="45"/>
      <c r="V192" s="46"/>
    </row>
    <row r="193" spans="2:22" ht="12.75">
      <c r="B193" s="50"/>
      <c r="C193" s="46"/>
      <c r="D193" s="46"/>
      <c r="E193" s="46"/>
      <c r="F193" s="46"/>
      <c r="G193" s="45"/>
      <c r="H193" s="46"/>
      <c r="I193" s="46"/>
      <c r="J193" s="46"/>
      <c r="K193" s="46"/>
      <c r="L193" s="46"/>
      <c r="M193" s="46"/>
      <c r="N193" s="55"/>
      <c r="O193" s="46"/>
      <c r="P193" s="46"/>
      <c r="Q193" s="46"/>
      <c r="R193" s="46"/>
      <c r="S193" s="46"/>
      <c r="T193" s="46"/>
      <c r="U193" s="45"/>
      <c r="V193" s="46"/>
    </row>
    <row r="194" spans="2:22" ht="12.75">
      <c r="B194" s="50" t="s">
        <v>355</v>
      </c>
      <c r="C194" s="46"/>
      <c r="D194" s="46"/>
      <c r="E194" s="46"/>
      <c r="F194" s="46"/>
      <c r="G194" s="45"/>
      <c r="H194" s="46"/>
      <c r="I194" s="46"/>
      <c r="J194" s="46"/>
      <c r="K194" s="46"/>
      <c r="L194" s="46"/>
      <c r="M194" s="46"/>
      <c r="N194" s="55"/>
      <c r="O194" s="46"/>
      <c r="P194" s="46"/>
      <c r="Q194" s="46"/>
      <c r="R194" s="46"/>
      <c r="S194" s="46"/>
      <c r="T194" s="46"/>
      <c r="U194" s="45"/>
      <c r="V194" s="76">
        <v>455808</v>
      </c>
    </row>
    <row r="195" spans="2:22" ht="12.75">
      <c r="B195" s="50"/>
      <c r="C195" s="46"/>
      <c r="D195" s="46"/>
      <c r="E195" s="46"/>
      <c r="F195" s="46"/>
      <c r="G195" s="45"/>
      <c r="H195" s="46"/>
      <c r="I195" s="46"/>
      <c r="J195" s="46"/>
      <c r="K195" s="46"/>
      <c r="L195" s="46"/>
      <c r="M195" s="46"/>
      <c r="N195" s="55"/>
      <c r="O195" s="46"/>
      <c r="P195" s="46"/>
      <c r="Q195" s="46"/>
      <c r="R195" s="46"/>
      <c r="S195" s="46"/>
      <c r="T195" s="46"/>
      <c r="U195" s="46"/>
      <c r="V195" s="46"/>
    </row>
    <row r="196" spans="2:24" ht="13.5" thickBot="1">
      <c r="B196" s="44" t="s">
        <v>356</v>
      </c>
      <c r="C196" s="44"/>
      <c r="D196" s="46"/>
      <c r="E196" s="46"/>
      <c r="F196" s="46"/>
      <c r="G196" s="45"/>
      <c r="H196" s="46"/>
      <c r="I196" s="46"/>
      <c r="J196" s="46"/>
      <c r="K196" s="46"/>
      <c r="L196" s="46"/>
      <c r="M196" s="46"/>
      <c r="N196" s="59"/>
      <c r="O196" s="44">
        <f>O190+O194</f>
        <v>2814151</v>
      </c>
      <c r="P196" s="44">
        <f aca="true" t="shared" si="19" ref="P196:U196">P190+P194</f>
        <v>1387500</v>
      </c>
      <c r="Q196" s="44">
        <f t="shared" si="19"/>
        <v>9627</v>
      </c>
      <c r="R196" s="44">
        <f t="shared" si="19"/>
        <v>4117</v>
      </c>
      <c r="S196" s="44">
        <f t="shared" si="19"/>
        <v>3244100</v>
      </c>
      <c r="T196" s="44">
        <f t="shared" si="19"/>
        <v>204789</v>
      </c>
      <c r="U196" s="44">
        <f t="shared" si="19"/>
        <v>9712.017</v>
      </c>
      <c r="V196" s="8">
        <f>+V190+V194</f>
        <v>8129804.017</v>
      </c>
      <c r="X196" s="2"/>
    </row>
    <row r="197" spans="7:14" ht="12.75">
      <c r="G197" s="4"/>
      <c r="N197" s="4"/>
    </row>
    <row r="198" spans="7:14" ht="12.75">
      <c r="G198" s="4"/>
      <c r="N198" s="4"/>
    </row>
    <row r="199" spans="7:14" ht="12.75">
      <c r="G199" s="4"/>
      <c r="N199" s="4"/>
    </row>
    <row r="200" spans="7:14" ht="12.75">
      <c r="G200" s="4"/>
      <c r="N200" s="4"/>
    </row>
    <row r="201" spans="7:14" ht="12.75">
      <c r="G201" s="4"/>
      <c r="N201" s="4"/>
    </row>
    <row r="202" spans="7:14" ht="12.75">
      <c r="G202" s="4"/>
      <c r="N202" s="4"/>
    </row>
    <row r="203" spans="7:14" ht="12.75">
      <c r="G203" s="4"/>
      <c r="N203" s="4"/>
    </row>
    <row r="204" spans="7:14" ht="12.75">
      <c r="G204" s="4"/>
      <c r="N204" s="4"/>
    </row>
    <row r="205" spans="7:14" ht="12.75">
      <c r="G205" s="4"/>
      <c r="N205" s="4"/>
    </row>
    <row r="206" spans="7:14" ht="12.75">
      <c r="G206" s="4"/>
      <c r="N206" s="4"/>
    </row>
    <row r="207" spans="7:14" ht="12.75">
      <c r="G207" s="4"/>
      <c r="N207" s="4"/>
    </row>
    <row r="208" spans="7:14" ht="12.75">
      <c r="G208" s="4"/>
      <c r="N208" s="4"/>
    </row>
    <row r="209" spans="7:14" ht="12.75">
      <c r="G209" s="4"/>
      <c r="N209" s="4"/>
    </row>
    <row r="210" spans="7:14" ht="12.75">
      <c r="G210" s="4"/>
      <c r="N210" s="4"/>
    </row>
    <row r="211" spans="7:14" ht="12.75">
      <c r="G211" s="4"/>
      <c r="N211" s="4"/>
    </row>
    <row r="212" spans="7:14" ht="12.75">
      <c r="G212" s="4"/>
      <c r="N212" s="4"/>
    </row>
    <row r="213" spans="7:14" ht="12.75">
      <c r="G213" s="4"/>
      <c r="N213" s="4"/>
    </row>
    <row r="214" spans="7:14" ht="12.75">
      <c r="G214" s="4"/>
      <c r="N214" s="4"/>
    </row>
    <row r="215" spans="7:14" ht="12.75">
      <c r="G215" s="4"/>
      <c r="N215" s="4"/>
    </row>
    <row r="216" spans="7:14" ht="12.75">
      <c r="G216" s="4"/>
      <c r="N216" s="4"/>
    </row>
    <row r="217" spans="7:14" ht="12.75">
      <c r="G217" s="4"/>
      <c r="N217" s="4"/>
    </row>
    <row r="218" spans="7:14" ht="12.75">
      <c r="G218" s="4"/>
      <c r="N218" s="4"/>
    </row>
    <row r="219" spans="7:14" ht="12.75">
      <c r="G219" s="4"/>
      <c r="N219" s="4"/>
    </row>
  </sheetData>
  <sheetProtection password="F4F5" sheet="1"/>
  <autoFilter ref="A6:V6"/>
  <printOptions/>
  <pageMargins left="0.748031496062992" right="0.748031496062992" top="0.984251968503937" bottom="0.984251968503937" header="0.511811023622047" footer="0.511811023622047"/>
  <pageSetup fitToHeight="4" fitToWidth="1" horizontalDpi="600" verticalDpi="600" orientation="landscape" paperSize="9" scale="61" r:id="rId3"/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hfc-samalie</dc:creator>
  <cp:keywords/>
  <dc:description/>
  <cp:lastModifiedBy>Ian Lloyd</cp:lastModifiedBy>
  <cp:lastPrinted>2018-06-22T10:00:09Z</cp:lastPrinted>
  <dcterms:created xsi:type="dcterms:W3CDTF">2005-05-18T08:22:23Z</dcterms:created>
  <dcterms:modified xsi:type="dcterms:W3CDTF">2024-01-30T10:45:40Z</dcterms:modified>
  <cp:category/>
  <cp:version/>
  <cp:contentType/>
  <cp:contentStatus/>
</cp:coreProperties>
</file>