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20" windowWidth="19440" windowHeight="4080" tabRatio="799" activeTab="0"/>
  </bookViews>
  <sheets>
    <sheet name="THFC Loans Portfolio" sheetId="1" r:id="rId1"/>
  </sheets>
  <definedNames>
    <definedName name="_xlnm._FilterDatabase" localSheetId="0" hidden="1">'THFC Loans Portfolio'!$A$6:$Z$6</definedName>
    <definedName name="_xlnm.Print_Area" localSheetId="0">'THFC Loans Portfolio'!$P$4:$Z$171</definedName>
    <definedName name="_xlnm.Print_Titles" localSheetId="0">'THFC Loans Portfolio'!$A:$B</definedName>
  </definedNames>
  <calcPr fullCalcOnLoad="1"/>
</workbook>
</file>

<file path=xl/comments1.xml><?xml version="1.0" encoding="utf-8"?>
<comments xmlns="http://schemas.openxmlformats.org/spreadsheetml/2006/main">
  <authors>
    <author>hfc-ian</author>
    <author>hfc-ianl</author>
    <author>hfc-sean</author>
    <author>Satindra Rana</author>
  </authors>
  <commentList>
    <comment ref="G71" authorId="0">
      <text>
        <r>
          <rPr>
            <b/>
            <sz val="9"/>
            <rFont val="Tahoma"/>
            <family val="2"/>
          </rPr>
          <t>hfc-ian:</t>
        </r>
        <r>
          <rPr>
            <sz val="9"/>
            <rFont val="Tahoma"/>
            <family val="2"/>
          </rPr>
          <t xml:space="preserve">
rounded down 1
</t>
        </r>
      </text>
    </comment>
    <comment ref="B70" authorId="1">
      <text>
        <r>
          <rPr>
            <b/>
            <sz val="9"/>
            <rFont val="Tahoma"/>
            <family val="2"/>
          </rPr>
          <t>hfc-ianl:</t>
        </r>
        <r>
          <rPr>
            <sz val="9"/>
            <rFont val="Tahoma"/>
            <family val="2"/>
          </rPr>
          <t xml:space="preserve">
name change on 18.06.15
</t>
        </r>
      </text>
    </comment>
    <comment ref="B67" authorId="1">
      <text>
        <r>
          <rPr>
            <b/>
            <sz val="9"/>
            <rFont val="Tahoma"/>
            <family val="2"/>
          </rPr>
          <t>hfc-ianl:</t>
        </r>
        <r>
          <rPr>
            <sz val="9"/>
            <rFont val="Tahoma"/>
            <family val="2"/>
          </rPr>
          <t xml:space="preserve">
27.11.15 Name Change
</t>
        </r>
      </text>
    </comment>
    <comment ref="F93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rounding up 1.5</t>
        </r>
      </text>
    </comment>
    <comment ref="F94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rounded up 1</t>
        </r>
      </text>
    </comment>
    <comment ref="H51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rounded up 1</t>
        </r>
      </text>
    </comment>
    <comment ref="I79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 down 1</t>
        </r>
      </text>
    </comment>
    <comment ref="Z177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Add 1 roundings</t>
        </r>
      </text>
    </comment>
    <comment ref="F51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add 1</t>
        </r>
      </text>
    </comment>
    <comment ref="D86" authorId="3">
      <text>
        <r>
          <rPr>
            <b/>
            <sz val="9"/>
            <rFont val="Tahoma"/>
            <family val="2"/>
          </rPr>
          <t>Satindra Rana:</t>
        </r>
        <r>
          <rPr>
            <sz val="9"/>
            <rFont val="Tahoma"/>
            <family val="2"/>
          </rPr>
          <t xml:space="preserve">
FROM 1271.781 TO 
1261.781</t>
        </r>
      </text>
    </comment>
  </commentList>
</comments>
</file>

<file path=xl/sharedStrings.xml><?xml version="1.0" encoding="utf-8"?>
<sst xmlns="http://schemas.openxmlformats.org/spreadsheetml/2006/main" count="547" uniqueCount="370">
  <si>
    <t>Area</t>
  </si>
  <si>
    <t>Income Security</t>
  </si>
  <si>
    <t>Grand Total</t>
  </si>
  <si>
    <t>East Anglia</t>
  </si>
  <si>
    <t>London</t>
  </si>
  <si>
    <t>National</t>
  </si>
  <si>
    <t>North West</t>
  </si>
  <si>
    <t>North East</t>
  </si>
  <si>
    <t>South East</t>
  </si>
  <si>
    <t>South West</t>
  </si>
  <si>
    <t>Scotland</t>
  </si>
  <si>
    <t>£000</t>
  </si>
  <si>
    <t xml:space="preserve">THFC Group Loans </t>
  </si>
  <si>
    <t>Islington &amp; Shoreditch Housing Association Limited</t>
  </si>
  <si>
    <t>Leeds Federated Housing Association Limited</t>
  </si>
  <si>
    <t>North London Muslim Housing Association Limited</t>
  </si>
  <si>
    <t>Home Group Limited</t>
  </si>
  <si>
    <t>Southern Housing Group Limited</t>
  </si>
  <si>
    <t>Womens Pioneer Housing Limited</t>
  </si>
  <si>
    <t>Cardiff Community Housing Association Limited</t>
  </si>
  <si>
    <t>Clwyd Alyn Housing Association Limited</t>
  </si>
  <si>
    <t>Cotman Housing Association Limited</t>
  </si>
  <si>
    <t>Eildon Housing Association Limited</t>
  </si>
  <si>
    <t>Estuary Housing Association Limited</t>
  </si>
  <si>
    <t>Grampian Housing Association Limited</t>
  </si>
  <si>
    <t>Gravesend Churches Housing Association Limited</t>
  </si>
  <si>
    <t>Hexagon Housing Association Limited</t>
  </si>
  <si>
    <t>Hyde Housing Association Limited</t>
  </si>
  <si>
    <t>Innisfree Housing Association Limited</t>
  </si>
  <si>
    <t>Irwell Valley Housing Association Limited</t>
  </si>
  <si>
    <t>Mid Wales Housing Association Limited</t>
  </si>
  <si>
    <t>North Wales Housing Association Limited</t>
  </si>
  <si>
    <t>Sanctuary Housing Association</t>
  </si>
  <si>
    <t>Soho Housing Association Limited</t>
  </si>
  <si>
    <t>South Yorkshire Housing Association Limited</t>
  </si>
  <si>
    <t>Taff Housing Association Limited</t>
  </si>
  <si>
    <t>Trident Housing Association Limited</t>
  </si>
  <si>
    <t>United Welsh Housing Association Limited</t>
  </si>
  <si>
    <t>Wales and West Housing Association Limited</t>
  </si>
  <si>
    <t>Wandle Housing Association Limited</t>
  </si>
  <si>
    <t>Wirral Methodist Housing Association Limited</t>
  </si>
  <si>
    <t>London &amp; Quadrant Housing Trust</t>
  </si>
  <si>
    <t>Newlon Housing Trust</t>
  </si>
  <si>
    <t>Manningham Housing Association Limited</t>
  </si>
  <si>
    <t>Nottingham Community Housing Association Limited</t>
  </si>
  <si>
    <t>Association borrower (legal entity)</t>
  </si>
  <si>
    <t xml:space="preserve">London </t>
  </si>
  <si>
    <t xml:space="preserve">Midlands </t>
  </si>
  <si>
    <t xml:space="preserve">South West </t>
  </si>
  <si>
    <t>The Housing Finance Corp Limited Loans</t>
  </si>
  <si>
    <t xml:space="preserve">UK Rents (No.1) PLC Loans </t>
  </si>
  <si>
    <t>Total Loan Value</t>
  </si>
  <si>
    <t>Midland</t>
  </si>
  <si>
    <t xml:space="preserve">National </t>
  </si>
  <si>
    <t xml:space="preserve">Wales </t>
  </si>
  <si>
    <t>Total Fixed Charge Security</t>
  </si>
  <si>
    <t>Association borrower ( legal entity)</t>
  </si>
  <si>
    <t>Fixed Charge Security</t>
  </si>
  <si>
    <t>Portal Housing Association Limited</t>
  </si>
  <si>
    <t>T.H.F.C. (Social Housing Finance) Limited Loans</t>
  </si>
  <si>
    <t>T.H.F.C. (Capital) PLC Loans</t>
  </si>
  <si>
    <t>T.H.F.C. (Indexed) Limited Loans</t>
  </si>
  <si>
    <t>T.H.F.C. (Indexed 2) Limited Loans</t>
  </si>
  <si>
    <t>T.H.F.C. (First Variable) Limited Loans</t>
  </si>
  <si>
    <t xml:space="preserve">Connect Housing Association Limited  </t>
  </si>
  <si>
    <t xml:space="preserve">Contour Homes Limited </t>
  </si>
  <si>
    <t xml:space="preserve">Equity Housing Group Limited </t>
  </si>
  <si>
    <t xml:space="preserve">Metropolitan Housing Trust Limited </t>
  </si>
  <si>
    <t>Moat Homes Limited</t>
  </si>
  <si>
    <t xml:space="preserve">Yorkshire Housing Limited </t>
  </si>
  <si>
    <t>Tuntum Housing Association Limited</t>
  </si>
  <si>
    <t>Leeds &amp; Yorkshire Housing Association Limited</t>
  </si>
  <si>
    <t>Fixed &amp; Floating</t>
  </si>
  <si>
    <t>WIN</t>
  </si>
  <si>
    <t>RID</t>
  </si>
  <si>
    <t>NCH</t>
  </si>
  <si>
    <t xml:space="preserve">Midland Heart Limited </t>
  </si>
  <si>
    <t>NET</t>
  </si>
  <si>
    <t>HUM</t>
  </si>
  <si>
    <t>KUS</t>
  </si>
  <si>
    <t>A2Dominion South Limited</t>
  </si>
  <si>
    <t>NAW</t>
  </si>
  <si>
    <t>Northern Ireland</t>
  </si>
  <si>
    <t>LIV</t>
  </si>
  <si>
    <t>Derwent Housing Association Limited</t>
  </si>
  <si>
    <t>East Midlands</t>
  </si>
  <si>
    <t>Glen Oaks Housing Association Limited</t>
  </si>
  <si>
    <t>Melin Homes Limited</t>
  </si>
  <si>
    <t>North Glasgow Housing Association Limited</t>
  </si>
  <si>
    <t>Origin Housing Limited</t>
  </si>
  <si>
    <t>Paradigm Homes Charitable Housing Association Limited</t>
  </si>
  <si>
    <t>A2Dominion Homes Limited</t>
  </si>
  <si>
    <t>Gateway Housing Association Limited</t>
  </si>
  <si>
    <t>A2 Dominion Homes Limited</t>
  </si>
  <si>
    <t>Capital &amp; UK Rents</t>
  </si>
  <si>
    <t>Bournville Village Trust</t>
  </si>
  <si>
    <t>Charter Housing Association Limited</t>
  </si>
  <si>
    <t>One Housing Group Limited</t>
  </si>
  <si>
    <t>FOC/MID/TOU/MIH</t>
  </si>
  <si>
    <t>New Gorbals Housing Association Limited</t>
  </si>
  <si>
    <t>Salvation Army Housing Association</t>
  </si>
  <si>
    <t>Thenue Housing Association Limited</t>
  </si>
  <si>
    <t>West Kent Housing Association</t>
  </si>
  <si>
    <t>Castle Rock Edinvar Housing Association Limited</t>
  </si>
  <si>
    <t>Coastal Housing Group Limited</t>
  </si>
  <si>
    <t>Hafod Housing Association Limited</t>
  </si>
  <si>
    <t>Regenda Limited</t>
  </si>
  <si>
    <t>Bromford Housing Association Limited</t>
  </si>
  <si>
    <t>Arcon Housing Association Limited</t>
  </si>
  <si>
    <t>Cornerstone Housing Limited</t>
  </si>
  <si>
    <t>Yorkshire &amp; the Humber</t>
  </si>
  <si>
    <t>Cadwyn Housing Asociation Limited</t>
  </si>
  <si>
    <t>Catalyst Housing Limited</t>
  </si>
  <si>
    <t>Dunedin Canmore Housing Limited</t>
  </si>
  <si>
    <t>Newydd Housing Association (1974) Limited</t>
  </si>
  <si>
    <t>Octavia Housing</t>
  </si>
  <si>
    <t>The Riverside Group Limited</t>
  </si>
  <si>
    <t>Greenoak Housing Association Limited</t>
  </si>
  <si>
    <t>Inquilab Housing Association Limited</t>
  </si>
  <si>
    <t>Affordable Housing Finance Plc       Loans</t>
  </si>
  <si>
    <t>Adactus Housing Association Limited</t>
  </si>
  <si>
    <t>Grwp Cynefin</t>
  </si>
  <si>
    <t>Choice Housing Ireland Limited</t>
  </si>
  <si>
    <t>One Vision Housing Limited</t>
  </si>
  <si>
    <t>VEN</t>
  </si>
  <si>
    <t>ERY/CLY/CYN</t>
  </si>
  <si>
    <t>Mount Green Housing Association Limited</t>
  </si>
  <si>
    <t>North Devon Homes Limited</t>
  </si>
  <si>
    <t>Colne Housing Society Limited</t>
  </si>
  <si>
    <t>English Rural Housing Association</t>
  </si>
  <si>
    <t>Stonewater Limited</t>
  </si>
  <si>
    <t>Stonewater (3) Limited</t>
  </si>
  <si>
    <t>Accord Housing Association Limited</t>
  </si>
  <si>
    <t>Apex Housing Association Limited</t>
  </si>
  <si>
    <t>Arches Housing Limited</t>
  </si>
  <si>
    <t>Coastline Housing Limited</t>
  </si>
  <si>
    <t>Connswater Homes Limited</t>
  </si>
  <si>
    <t>EMH Housing and Regeneration Limited</t>
  </si>
  <si>
    <t>Home in Scotland Limited</t>
  </si>
  <si>
    <t>Hundred Houses Society Limited</t>
  </si>
  <si>
    <t>"Johnnie" Johnson Housing Trust Limited</t>
  </si>
  <si>
    <t>Joseph Rowntree Housing Trust</t>
  </si>
  <si>
    <t>Orwell Housing Association Limited</t>
  </si>
  <si>
    <t>Plymouth Community Homes Limited</t>
  </si>
  <si>
    <t xml:space="preserve">Sanctuary Scotland Housing Association Limited </t>
  </si>
  <si>
    <t>Selwood Housing Society Limited</t>
  </si>
  <si>
    <t>Shepherds Bush Housing Association Limited</t>
  </si>
  <si>
    <t>The Swaythling Housing Society Limited</t>
  </si>
  <si>
    <t>Westfield Housing Association Limited</t>
  </si>
  <si>
    <t>Worthing Homes Limited</t>
  </si>
  <si>
    <t>York Housing Association Limited</t>
  </si>
  <si>
    <t>Total Floating Charge Security</t>
  </si>
  <si>
    <t>Floating Charge Security</t>
  </si>
  <si>
    <t>Sadeh Lok Limited</t>
  </si>
  <si>
    <t>Harrogate Housing Association Limited</t>
  </si>
  <si>
    <t>Clanmil Housing Association Limited</t>
  </si>
  <si>
    <t>Golding Homes Limited</t>
  </si>
  <si>
    <t>bpha Limited</t>
  </si>
  <si>
    <t>Merlin Housing Society Limited</t>
  </si>
  <si>
    <t>Round Thousands</t>
  </si>
  <si>
    <t>SPE/SOV</t>
  </si>
  <si>
    <t>Orbit South Housing Association Limited</t>
  </si>
  <si>
    <t>BFH</t>
  </si>
  <si>
    <t>Aster Communities</t>
  </si>
  <si>
    <t>AST</t>
  </si>
  <si>
    <t>Accent Housing Limited</t>
  </si>
  <si>
    <t>MER</t>
  </si>
  <si>
    <t>White Horse Housing Association Limited</t>
  </si>
  <si>
    <t>Habinteg Housing Association Limited</t>
  </si>
  <si>
    <t>MSD/HEA</t>
  </si>
  <si>
    <t>Flagship Housing Group Limited</t>
  </si>
  <si>
    <t>Heart of England Housing Assciation Limited</t>
  </si>
  <si>
    <t>Greenfields Community Housing Limited</t>
  </si>
  <si>
    <t>Network Homes Limited</t>
  </si>
  <si>
    <t>Pickering and Ferens Homes</t>
  </si>
  <si>
    <t>Gentoo Group Limited</t>
  </si>
  <si>
    <t>Dumfries &amp; Galloway Housing Partnership Limited</t>
  </si>
  <si>
    <t>Hightown Housing Association Limited</t>
  </si>
  <si>
    <t>Places for People Homes Living+ Limited</t>
  </si>
  <si>
    <t>Bernicia Group</t>
  </si>
  <si>
    <t>BPH</t>
  </si>
  <si>
    <t>CAD</t>
  </si>
  <si>
    <t>CAM</t>
  </si>
  <si>
    <t>CHA</t>
  </si>
  <si>
    <t>ACC/ACP/BRA/NEN</t>
  </si>
  <si>
    <t>ACH</t>
  </si>
  <si>
    <t>CRC</t>
  </si>
  <si>
    <t>BVT</t>
  </si>
  <si>
    <t>CRE</t>
  </si>
  <si>
    <t>EAL/CAT</t>
  </si>
  <si>
    <t>CLA</t>
  </si>
  <si>
    <t>CLW</t>
  </si>
  <si>
    <t>COA</t>
  </si>
  <si>
    <t>COL</t>
  </si>
  <si>
    <t>CON</t>
  </si>
  <si>
    <t>COR</t>
  </si>
  <si>
    <t>COT</t>
  </si>
  <si>
    <t>CRO</t>
  </si>
  <si>
    <t>DER</t>
  </si>
  <si>
    <t>DUN</t>
  </si>
  <si>
    <t>DRU</t>
  </si>
  <si>
    <t>EIL</t>
  </si>
  <si>
    <t>EST</t>
  </si>
  <si>
    <t>CST</t>
  </si>
  <si>
    <t>CLL/PRT</t>
  </si>
  <si>
    <t>GLE</t>
  </si>
  <si>
    <t>NHT</t>
  </si>
  <si>
    <t>GOL</t>
  </si>
  <si>
    <t>GRE</t>
  </si>
  <si>
    <t>HAF</t>
  </si>
  <si>
    <t>HAN</t>
  </si>
  <si>
    <t>EMD</t>
  </si>
  <si>
    <t>HEX</t>
  </si>
  <si>
    <t>HIG</t>
  </si>
  <si>
    <t>ERH</t>
  </si>
  <si>
    <t>HOM</t>
  </si>
  <si>
    <t>HUN</t>
  </si>
  <si>
    <t>INN</t>
  </si>
  <si>
    <t>INQ</t>
  </si>
  <si>
    <t>IRW</t>
  </si>
  <si>
    <t>ISL</t>
  </si>
  <si>
    <t>BGV/GAT</t>
  </si>
  <si>
    <t>GRM</t>
  </si>
  <si>
    <t>GRV</t>
  </si>
  <si>
    <t>HOE</t>
  </si>
  <si>
    <t>GRF</t>
  </si>
  <si>
    <t>JOH</t>
  </si>
  <si>
    <t>MAN</t>
  </si>
  <si>
    <t>MEL</t>
  </si>
  <si>
    <t>HAB/JOG</t>
  </si>
  <si>
    <t>MOA</t>
  </si>
  <si>
    <t>HFA</t>
  </si>
  <si>
    <t>NEW</t>
  </si>
  <si>
    <t>HOS</t>
  </si>
  <si>
    <t>NOT</t>
  </si>
  <si>
    <t>JRT</t>
  </si>
  <si>
    <t>LEY</t>
  </si>
  <si>
    <t>LEF</t>
  </si>
  <si>
    <t>LVP</t>
  </si>
  <si>
    <t>ORB</t>
  </si>
  <si>
    <t>ORW</t>
  </si>
  <si>
    <t>PLY</t>
  </si>
  <si>
    <t>MWA</t>
  </si>
  <si>
    <t>NGO</t>
  </si>
  <si>
    <t>MGR</t>
  </si>
  <si>
    <t>NGL</t>
  </si>
  <si>
    <t>NWA</t>
  </si>
  <si>
    <t>RAI</t>
  </si>
  <si>
    <t>SAD</t>
  </si>
  <si>
    <t>MOS/STV</t>
  </si>
  <si>
    <t>NED</t>
  </si>
  <si>
    <t>NDH</t>
  </si>
  <si>
    <t>NLM</t>
  </si>
  <si>
    <t>SAL</t>
  </si>
  <si>
    <t>SEL</t>
  </si>
  <si>
    <t>SOH</t>
  </si>
  <si>
    <t>STA</t>
  </si>
  <si>
    <t>STO</t>
  </si>
  <si>
    <t>SYN</t>
  </si>
  <si>
    <t>TAF</t>
  </si>
  <si>
    <t>CHI/PAR</t>
  </si>
  <si>
    <t>PFH</t>
  </si>
  <si>
    <t>THE</t>
  </si>
  <si>
    <t>PTL</t>
  </si>
  <si>
    <t>TRI</t>
  </si>
  <si>
    <t>TUN</t>
  </si>
  <si>
    <t>WAN</t>
  </si>
  <si>
    <t>WAT</t>
  </si>
  <si>
    <t>BET/SAN/SHA</t>
  </si>
  <si>
    <t>SAS/TEN</t>
  </si>
  <si>
    <t>SHB</t>
  </si>
  <si>
    <t>SOY</t>
  </si>
  <si>
    <t>UNW</t>
  </si>
  <si>
    <t>WAW</t>
  </si>
  <si>
    <t>WEK</t>
  </si>
  <si>
    <t>SAM</t>
  </si>
  <si>
    <t>WIR</t>
  </si>
  <si>
    <t>WOM</t>
  </si>
  <si>
    <t>WOR</t>
  </si>
  <si>
    <t>YOR</t>
  </si>
  <si>
    <t>STJ</t>
  </si>
  <si>
    <t>WFD</t>
  </si>
  <si>
    <t>WIL</t>
  </si>
  <si>
    <t>YRK</t>
  </si>
  <si>
    <t>PEM</t>
  </si>
  <si>
    <t>ATEB Group Limited</t>
  </si>
  <si>
    <t>CHE/TRV</t>
  </si>
  <si>
    <t>BRO/CHL</t>
  </si>
  <si>
    <t>Clarion Housing Group</t>
  </si>
  <si>
    <t>WLL/MER</t>
  </si>
  <si>
    <t>OXF</t>
  </si>
  <si>
    <t>NOM/ISO</t>
  </si>
  <si>
    <t>LMH</t>
  </si>
  <si>
    <t>DEV/PEN/KNI</t>
  </si>
  <si>
    <t>Optivo</t>
  </si>
  <si>
    <t>SOU/AMI/VIR</t>
  </si>
  <si>
    <t>ASR/LEI</t>
  </si>
  <si>
    <t>Peabody Trust</t>
  </si>
  <si>
    <t>FAM/FMO/GAL</t>
  </si>
  <si>
    <t>ENG/RIV</t>
  </si>
  <si>
    <t>SWA</t>
  </si>
  <si>
    <t>TRE</t>
  </si>
  <si>
    <t>WES</t>
  </si>
  <si>
    <t>Vivid Housing Limited</t>
  </si>
  <si>
    <t>FWX/POR/SEN</t>
  </si>
  <si>
    <t>Watford Community Housing Trust</t>
  </si>
  <si>
    <t>Yarlington Housing Group</t>
  </si>
  <si>
    <t>YAR</t>
  </si>
  <si>
    <t>ACT/CHR/KEL</t>
  </si>
  <si>
    <t>Anchor Hanover Group</t>
  </si>
  <si>
    <t>ARC</t>
  </si>
  <si>
    <t>BDH</t>
  </si>
  <si>
    <t>Bromsgrove District Housing Trust Limited</t>
  </si>
  <si>
    <t>BEL/OAK/TRN</t>
  </si>
  <si>
    <t>Blend Funding Plc Loans</t>
  </si>
  <si>
    <t>FLA</t>
  </si>
  <si>
    <t>HYD/MIN</t>
  </si>
  <si>
    <t>LiveWest Homes Limited</t>
  </si>
  <si>
    <t>NHH/WEH/GEN</t>
  </si>
  <si>
    <t>Notting Hill Genesis</t>
  </si>
  <si>
    <t>STM/DUC</t>
  </si>
  <si>
    <t>Onward Homes Limited</t>
  </si>
  <si>
    <t>FOL/HEL</t>
  </si>
  <si>
    <t>RHO</t>
  </si>
  <si>
    <t>Silva Homes Limited</t>
  </si>
  <si>
    <t>SWH</t>
  </si>
  <si>
    <t>South Western Housing Society Limited</t>
  </si>
  <si>
    <t>Torus62 Limited</t>
  </si>
  <si>
    <t>UNI</t>
  </si>
  <si>
    <t>United Communities Limited</t>
  </si>
  <si>
    <t>WEA</t>
  </si>
  <si>
    <t>Weaver Vale Housing Trust Limited</t>
  </si>
  <si>
    <t>ADA/FMM</t>
  </si>
  <si>
    <t>DUM</t>
  </si>
  <si>
    <t>COM/MAM/GPH</t>
  </si>
  <si>
    <t>MET/WAL/THA</t>
  </si>
  <si>
    <t>Mosscare St. Vincents Housing Group Limited</t>
  </si>
  <si>
    <t>Railway Housing Association &amp; Benefit Fund</t>
  </si>
  <si>
    <t>Sovereign Housing Association Limited</t>
  </si>
  <si>
    <t>Trent &amp; Dove Housing Limited</t>
  </si>
  <si>
    <t>Westward Housing Group Limited</t>
  </si>
  <si>
    <t>Your Housing Limited</t>
  </si>
  <si>
    <t>East of England</t>
  </si>
  <si>
    <t>FMB/HAR</t>
  </si>
  <si>
    <t>Platform Housing Limited</t>
  </si>
  <si>
    <t>FES/WCH/DEM/WAT(erloo)</t>
  </si>
  <si>
    <t>BEA/THR/UJI</t>
  </si>
  <si>
    <t>NPT</t>
  </si>
  <si>
    <t>Newport City Homes Housing Association Limited</t>
  </si>
  <si>
    <t>CMM</t>
  </si>
  <si>
    <t>Premium 31 March 2020</t>
  </si>
  <si>
    <t>Total at 31 March 2020</t>
  </si>
  <si>
    <t>Paragon Asra Housing Limited</t>
  </si>
  <si>
    <t>WEP</t>
  </si>
  <si>
    <t>Karbon Homes Limited</t>
  </si>
  <si>
    <t>Radius Housing Association Limited</t>
  </si>
  <si>
    <t>Synergy Housing Limited</t>
  </si>
  <si>
    <t>Greensquare Group Limited</t>
  </si>
  <si>
    <t>Drum Housing Association Limited</t>
  </si>
  <si>
    <t>Derwen Cymru Limited</t>
  </si>
  <si>
    <t>Croydon Churches Housing Association Limited</t>
  </si>
  <si>
    <t>Clarion Housing Group Limited</t>
  </si>
  <si>
    <t>Citizen Housing Group Limited</t>
  </si>
  <si>
    <t>The Cambridge Housing Society Limited</t>
  </si>
  <si>
    <t>Great Places Housing Association</t>
  </si>
  <si>
    <t>Honeycomb Group Limited</t>
  </si>
  <si>
    <t>Longhurst Group Limited</t>
  </si>
  <si>
    <t>Rhondda Housing Association</t>
  </si>
  <si>
    <t>LGH/AXI/FRI</t>
  </si>
  <si>
    <t>Total Income Security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</si>
</sst>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0.00_ ;[Red]\-0.00\ "/>
    <numFmt numFmtId="174" formatCode="&quot;£&quot;#,##0.000;[Red]\-&quot;£&quot;#,##0.000"/>
    <numFmt numFmtId="175" formatCode="[$-809]dd\ mmmm\ yyyy"/>
    <numFmt numFmtId="176" formatCode="#,##0;[Red]#,##0"/>
    <numFmt numFmtId="177" formatCode="0.0"/>
    <numFmt numFmtId="178" formatCode="&quot;£&quot;#,##0"/>
    <numFmt numFmtId="179" formatCode="#,##0.000"/>
    <numFmt numFmtId="180" formatCode="_-* #,##0.0_-;\-* #,##0.0_-;_-* &quot;-&quot;??_-;_-@_-"/>
    <numFmt numFmtId="181" formatCode="_-* #,##0_-;\-* #,##0_-;_-* &quot;-&quot;??_-;_-@_-"/>
    <numFmt numFmtId="182" formatCode="_-&quot;£&quot;* #,##0.0_-;\-&quot;£&quot;* #,##0.0_-;_-&quot;£&quot;* &quot;-&quot;??_-;_-@_-"/>
    <numFmt numFmtId="183" formatCode="_-&quot;£&quot;* #,##0_-;\-&quot;£&quot;* #,##0_-;_-&quot;£&quot;* &quot;-&quot;??_-;_-@_-"/>
    <numFmt numFmtId="184" formatCode="_£* #,##0_-;\-&quot;£&quot;* #,##0_-;_-&quot;£&quot;* &quot;-&quot;??_-;_-@_-"/>
    <numFmt numFmtId="185" formatCode="_*\ #,##0_-;\-&quot;£&quot;* #,##0_-;_-&quot;£&quot;* &quot;-&quot;??_-;_-@_-"/>
    <numFmt numFmtId="186" formatCode="_-* #,##0.000_-;\-* #,##0.000_-;_-* &quot;-&quot;??_-;_-@_-"/>
    <numFmt numFmtId="187" formatCode="_-* #,##0.0000_-;\-* #,##0.0000_-;_-* &quot;-&quot;??_-;_-@_-"/>
    <numFmt numFmtId="188" formatCode="#,##0.0"/>
    <numFmt numFmtId="189" formatCode="#,##0.0000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_-;_-@_-"/>
    <numFmt numFmtId="193" formatCode="#,##0.00000"/>
    <numFmt numFmtId="194" formatCode="[$-409]dddd\,\ dd\ mmmm\,\ yyyy"/>
    <numFmt numFmtId="195" formatCode="[$-409]h:mm:ss\ AM/PM"/>
    <numFmt numFmtId="196" formatCode="#,##0.000000"/>
    <numFmt numFmtId="197" formatCode="#,##0;\(#,##0\)"/>
    <numFmt numFmtId="198" formatCode="#,##0.00000000000000"/>
    <numFmt numFmtId="199" formatCode="#,##0.0000000000000"/>
    <numFmt numFmtId="200" formatCode="#,##0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206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2060"/>
      </right>
      <top>
        <color indexed="63"/>
      </top>
      <bottom style="medium"/>
    </border>
    <border>
      <left style="medium">
        <color rgb="FF002060"/>
      </left>
      <right>
        <color indexed="63"/>
      </right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6" fontId="1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6" fontId="1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/>
    </xf>
    <xf numFmtId="6" fontId="0" fillId="0" borderId="17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right" wrapText="1"/>
    </xf>
    <xf numFmtId="3" fontId="1" fillId="0" borderId="21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6" fontId="0" fillId="0" borderId="17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/>
    </xf>
    <xf numFmtId="6" fontId="0" fillId="0" borderId="26" xfId="0" applyNumberFormat="1" applyFont="1" applyFill="1" applyBorder="1" applyAlignment="1" quotePrefix="1">
      <alignment horizontal="right"/>
    </xf>
    <xf numFmtId="3" fontId="0" fillId="0" borderId="26" xfId="0" applyNumberFormat="1" applyFont="1" applyFill="1" applyBorder="1" applyAlignment="1" quotePrefix="1">
      <alignment horizontal="right"/>
    </xf>
    <xf numFmtId="0" fontId="1" fillId="0" borderId="27" xfId="0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21" xfId="0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3" fontId="44" fillId="33" borderId="0" xfId="0" applyNumberFormat="1" applyFont="1" applyFill="1" applyAlignment="1">
      <alignment/>
    </xf>
    <xf numFmtId="176" fontId="0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ont="1" applyFill="1" applyBorder="1" applyAlignment="1">
      <alignment/>
    </xf>
    <xf numFmtId="43" fontId="0" fillId="33" borderId="0" xfId="42" applyFont="1" applyFill="1" applyAlignment="1">
      <alignment/>
    </xf>
    <xf numFmtId="176" fontId="0" fillId="33" borderId="0" xfId="0" applyNumberFormat="1" applyFont="1" applyFill="1" applyAlignment="1">
      <alignment/>
    </xf>
    <xf numFmtId="0" fontId="0" fillId="33" borderId="17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76" fontId="1" fillId="0" borderId="2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76" fontId="1" fillId="33" borderId="20" xfId="0" applyNumberFormat="1" applyFont="1" applyFill="1" applyBorder="1" applyAlignment="1">
      <alignment/>
    </xf>
    <xf numFmtId="181" fontId="1" fillId="33" borderId="0" xfId="42" applyNumberFormat="1" applyFont="1" applyFill="1" applyAlignment="1">
      <alignment/>
    </xf>
    <xf numFmtId="0" fontId="33" fillId="29" borderId="0" xfId="48" applyBorder="1" applyAlignment="1">
      <alignment horizontal="right" wrapText="1"/>
    </xf>
    <xf numFmtId="0" fontId="33" fillId="29" borderId="17" xfId="48" applyBorder="1" applyAlignment="1">
      <alignment/>
    </xf>
    <xf numFmtId="0" fontId="33" fillId="29" borderId="0" xfId="48" applyBorder="1" applyAlignment="1">
      <alignment/>
    </xf>
    <xf numFmtId="3" fontId="33" fillId="29" borderId="0" xfId="48" applyNumberFormat="1" applyBorder="1" applyAlignment="1">
      <alignment/>
    </xf>
    <xf numFmtId="3" fontId="33" fillId="29" borderId="11" xfId="48" applyNumberFormat="1" applyBorder="1" applyAlignment="1">
      <alignment/>
    </xf>
    <xf numFmtId="0" fontId="33" fillId="29" borderId="28" xfId="48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"/>
  <sheetViews>
    <sheetView tabSelected="1" zoomScalePageLayoutView="0" workbookViewId="0" topLeftCell="A1">
      <pane xSplit="2" ySplit="6" topLeftCell="R161" activePane="bottomRight" state="frozen"/>
      <selection pane="topLeft" activeCell="C7" sqref="C7:G20"/>
      <selection pane="topRight" activeCell="C7" sqref="C7:G20"/>
      <selection pane="bottomLeft" activeCell="C7" sqref="C7:G20"/>
      <selection pane="bottomRight" activeCell="U179" sqref="U179"/>
    </sheetView>
  </sheetViews>
  <sheetFormatPr defaultColWidth="9.140625" defaultRowHeight="12.75"/>
  <cols>
    <col min="1" max="1" width="24.00390625" style="6" hidden="1" customWidth="1"/>
    <col min="2" max="2" width="52.00390625" style="6" customWidth="1"/>
    <col min="3" max="3" width="20.7109375" style="6" bestFit="1" customWidth="1"/>
    <col min="4" max="5" width="36.140625" style="6" hidden="1" customWidth="1"/>
    <col min="6" max="6" width="29.421875" style="6" hidden="1" customWidth="1"/>
    <col min="7" max="7" width="30.8515625" style="6" hidden="1" customWidth="1"/>
    <col min="8" max="8" width="33.7109375" style="6" hidden="1" customWidth="1"/>
    <col min="9" max="9" width="41.8515625" style="8" hidden="1" customWidth="1"/>
    <col min="10" max="10" width="37.28125" style="6" hidden="1" customWidth="1"/>
    <col min="11" max="12" width="26.00390625" style="6" hidden="1" customWidth="1"/>
    <col min="13" max="13" width="16.8515625" style="6" hidden="1" customWidth="1"/>
    <col min="14" max="14" width="13.57421875" style="6" hidden="1" customWidth="1"/>
    <col min="15" max="15" width="11.140625" style="6" hidden="1" customWidth="1"/>
    <col min="16" max="16" width="9.140625" style="42" hidden="1" customWidth="1"/>
    <col min="17" max="17" width="16.00390625" style="6" bestFit="1" customWidth="1"/>
    <col min="18" max="18" width="16.00390625" style="6" customWidth="1"/>
    <col min="19" max="19" width="12.421875" style="6" bestFit="1" customWidth="1"/>
    <col min="20" max="20" width="12.8515625" style="6" bestFit="1" customWidth="1"/>
    <col min="21" max="21" width="11.57421875" style="6" bestFit="1" customWidth="1"/>
    <col min="22" max="22" width="13.140625" style="6" bestFit="1" customWidth="1"/>
    <col min="23" max="23" width="14.28125" style="6" bestFit="1" customWidth="1"/>
    <col min="24" max="24" width="9.140625" style="6" customWidth="1"/>
    <col min="25" max="25" width="11.00390625" style="6" bestFit="1" customWidth="1"/>
    <col min="26" max="26" width="16.00390625" style="6" bestFit="1" customWidth="1"/>
    <col min="27" max="16384" width="9.140625" style="6" customWidth="1"/>
  </cols>
  <sheetData>
    <row r="1" ht="12.75">
      <c r="B1" s="9" t="s">
        <v>12</v>
      </c>
    </row>
    <row r="2" spans="2:7" ht="12.75">
      <c r="B2" s="9" t="e">
        <f>#REF!</f>
        <v>#REF!</v>
      </c>
      <c r="D2" s="9"/>
      <c r="E2" s="9"/>
      <c r="G2" s="9"/>
    </row>
    <row r="3" ht="13.5" thickBot="1">
      <c r="G3" s="9"/>
    </row>
    <row r="4" spans="2:26" s="7" customFormat="1" ht="18">
      <c r="B4" s="7" t="s">
        <v>57</v>
      </c>
      <c r="F4" s="34"/>
      <c r="I4" s="11"/>
      <c r="P4" s="14"/>
      <c r="Q4" s="15" t="s">
        <v>159</v>
      </c>
      <c r="R4" s="15"/>
      <c r="S4" s="16"/>
      <c r="T4" s="16"/>
      <c r="U4" s="16"/>
      <c r="V4" s="16"/>
      <c r="W4" s="16"/>
      <c r="X4" s="16"/>
      <c r="Y4" s="16"/>
      <c r="Z4" s="17"/>
    </row>
    <row r="5" spans="2:26" s="7" customFormat="1" ht="77.25" thickBot="1">
      <c r="B5" s="27"/>
      <c r="C5" s="27"/>
      <c r="D5" s="28" t="s">
        <v>49</v>
      </c>
      <c r="E5" s="28" t="s">
        <v>314</v>
      </c>
      <c r="F5" s="28" t="s">
        <v>61</v>
      </c>
      <c r="G5" s="28" t="s">
        <v>62</v>
      </c>
      <c r="H5" s="28" t="s">
        <v>63</v>
      </c>
      <c r="I5" s="29" t="s">
        <v>59</v>
      </c>
      <c r="J5" s="28" t="s">
        <v>119</v>
      </c>
      <c r="K5" s="28" t="s">
        <v>60</v>
      </c>
      <c r="L5" s="28" t="s">
        <v>50</v>
      </c>
      <c r="M5" s="30" t="s">
        <v>51</v>
      </c>
      <c r="P5" s="18"/>
      <c r="Q5" s="19" t="s">
        <v>49</v>
      </c>
      <c r="R5" s="49" t="s">
        <v>314</v>
      </c>
      <c r="S5" s="19" t="s">
        <v>61</v>
      </c>
      <c r="T5" s="19" t="s">
        <v>62</v>
      </c>
      <c r="U5" s="75" t="s">
        <v>63</v>
      </c>
      <c r="V5" s="20" t="s">
        <v>59</v>
      </c>
      <c r="W5" s="19" t="s">
        <v>119</v>
      </c>
      <c r="X5" s="19" t="s">
        <v>60</v>
      </c>
      <c r="Y5" s="19" t="s">
        <v>50</v>
      </c>
      <c r="Z5" s="21" t="s">
        <v>51</v>
      </c>
    </row>
    <row r="6" spans="2:26" s="22" customFormat="1" ht="16.5" thickBot="1" thickTop="1">
      <c r="B6" s="43" t="s">
        <v>56</v>
      </c>
      <c r="C6" s="43" t="s">
        <v>0</v>
      </c>
      <c r="D6" s="44" t="s">
        <v>11</v>
      </c>
      <c r="E6" s="44" t="s">
        <v>11</v>
      </c>
      <c r="F6" s="44" t="s">
        <v>11</v>
      </c>
      <c r="G6" s="44" t="s">
        <v>11</v>
      </c>
      <c r="H6" s="44" t="s">
        <v>11</v>
      </c>
      <c r="I6" s="45" t="s">
        <v>11</v>
      </c>
      <c r="J6" s="45" t="s">
        <v>11</v>
      </c>
      <c r="K6" s="44" t="s">
        <v>11</v>
      </c>
      <c r="L6" s="44" t="s">
        <v>11</v>
      </c>
      <c r="M6" s="41" t="s">
        <v>11</v>
      </c>
      <c r="N6" s="23"/>
      <c r="P6" s="24"/>
      <c r="U6" s="76"/>
      <c r="Z6" s="25"/>
    </row>
    <row r="7" spans="2:26" ht="15">
      <c r="B7" s="34"/>
      <c r="C7" s="34"/>
      <c r="D7" s="34"/>
      <c r="E7" s="34"/>
      <c r="F7" s="34"/>
      <c r="G7" s="34"/>
      <c r="H7" s="34"/>
      <c r="I7" s="31"/>
      <c r="J7" s="34"/>
      <c r="K7" s="34"/>
      <c r="L7" s="34"/>
      <c r="M7" s="35"/>
      <c r="P7" s="36"/>
      <c r="Q7" s="53"/>
      <c r="R7" s="53"/>
      <c r="S7" s="53"/>
      <c r="T7" s="53"/>
      <c r="U7" s="77"/>
      <c r="V7" s="53"/>
      <c r="W7" s="53"/>
      <c r="X7" s="53"/>
      <c r="Y7" s="53"/>
      <c r="Z7" s="54"/>
    </row>
    <row r="8" spans="1:27" ht="15">
      <c r="A8" s="6" t="s">
        <v>308</v>
      </c>
      <c r="B8" s="34" t="s">
        <v>91</v>
      </c>
      <c r="C8" s="34" t="s">
        <v>8</v>
      </c>
      <c r="D8" s="31">
        <f>1521.5+21134+50000+4000+5000</f>
        <v>81655.5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2515.364</v>
      </c>
      <c r="M8" s="32">
        <f aca="true" t="shared" si="0" ref="M8:M38">SUM(D8:L8)</f>
        <v>84170.864</v>
      </c>
      <c r="N8" s="8"/>
      <c r="O8" s="37"/>
      <c r="P8" s="36"/>
      <c r="Q8" s="51">
        <v>81656</v>
      </c>
      <c r="R8" s="51">
        <v>0</v>
      </c>
      <c r="S8" s="51">
        <v>0</v>
      </c>
      <c r="T8" s="51">
        <v>0</v>
      </c>
      <c r="U8" s="78">
        <v>0</v>
      </c>
      <c r="V8" s="51">
        <v>0</v>
      </c>
      <c r="W8" s="51">
        <v>0</v>
      </c>
      <c r="X8" s="51">
        <v>0</v>
      </c>
      <c r="Y8" s="51">
        <v>0</v>
      </c>
      <c r="Z8" s="52">
        <f>SUM(Q8:Y8)</f>
        <v>81656</v>
      </c>
      <c r="AA8" s="38"/>
    </row>
    <row r="9" spans="1:27" ht="15">
      <c r="A9" s="4" t="s">
        <v>73</v>
      </c>
      <c r="B9" s="34" t="s">
        <v>80</v>
      </c>
      <c r="C9" s="34" t="s">
        <v>8</v>
      </c>
      <c r="D9" s="31">
        <v>50000</v>
      </c>
      <c r="E9" s="31">
        <v>0</v>
      </c>
      <c r="F9" s="31">
        <v>0</v>
      </c>
      <c r="G9" s="31">
        <v>1317.87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2">
        <f t="shared" si="0"/>
        <v>51317.87</v>
      </c>
      <c r="N9" s="8"/>
      <c r="O9" s="37"/>
      <c r="P9" s="36"/>
      <c r="Q9" s="51">
        <v>50000</v>
      </c>
      <c r="R9" s="51">
        <v>0</v>
      </c>
      <c r="S9" s="51">
        <v>0</v>
      </c>
      <c r="T9" s="51">
        <v>1318</v>
      </c>
      <c r="U9" s="78">
        <v>0</v>
      </c>
      <c r="V9" s="51">
        <v>0</v>
      </c>
      <c r="W9" s="51">
        <v>0</v>
      </c>
      <c r="X9" s="51">
        <v>0</v>
      </c>
      <c r="Y9" s="51">
        <v>0</v>
      </c>
      <c r="Z9" s="52">
        <f aca="true" t="shared" si="1" ref="Z9:Z72">SUM(Q9:Y9)</f>
        <v>51318</v>
      </c>
      <c r="AA9" s="38"/>
    </row>
    <row r="10" spans="1:27" ht="15">
      <c r="A10" s="6" t="s">
        <v>184</v>
      </c>
      <c r="B10" s="34" t="s">
        <v>165</v>
      </c>
      <c r="C10" s="34" t="s">
        <v>5</v>
      </c>
      <c r="D10" s="31">
        <v>10000</v>
      </c>
      <c r="E10" s="31">
        <v>0</v>
      </c>
      <c r="F10" s="31">
        <v>952.0060000000001</v>
      </c>
      <c r="G10" s="31">
        <v>0</v>
      </c>
      <c r="H10" s="31">
        <v>0</v>
      </c>
      <c r="I10" s="31">
        <v>0</v>
      </c>
      <c r="J10" s="31">
        <v>20000</v>
      </c>
      <c r="K10" s="31">
        <v>0</v>
      </c>
      <c r="L10" s="31">
        <v>0</v>
      </c>
      <c r="M10" s="32">
        <f t="shared" si="0"/>
        <v>30952.006</v>
      </c>
      <c r="N10" s="8"/>
      <c r="O10" s="37"/>
      <c r="P10" s="36"/>
      <c r="Q10" s="51">
        <v>10000</v>
      </c>
      <c r="R10" s="51">
        <v>0</v>
      </c>
      <c r="S10" s="51">
        <v>952</v>
      </c>
      <c r="T10" s="51">
        <v>0</v>
      </c>
      <c r="U10" s="78">
        <v>0</v>
      </c>
      <c r="V10" s="51">
        <v>0</v>
      </c>
      <c r="W10" s="51">
        <v>20000</v>
      </c>
      <c r="X10" s="51">
        <v>0</v>
      </c>
      <c r="Y10" s="51">
        <v>0</v>
      </c>
      <c r="Z10" s="52">
        <f t="shared" si="1"/>
        <v>30952</v>
      </c>
      <c r="AA10" s="38"/>
    </row>
    <row r="11" spans="1:27" ht="15">
      <c r="A11" s="6" t="s">
        <v>169</v>
      </c>
      <c r="B11" s="34" t="s">
        <v>132</v>
      </c>
      <c r="C11" s="34" t="s">
        <v>47</v>
      </c>
      <c r="D11" s="31">
        <f>1500+10000+2000+2000</f>
        <v>15500</v>
      </c>
      <c r="E11" s="31">
        <v>0</v>
      </c>
      <c r="F11" s="31">
        <v>0</v>
      </c>
      <c r="G11" s="31">
        <v>1594.269</v>
      </c>
      <c r="H11" s="31">
        <v>430.592</v>
      </c>
      <c r="I11" s="31">
        <v>0</v>
      </c>
      <c r="J11" s="31">
        <v>0</v>
      </c>
      <c r="K11" s="31">
        <v>0</v>
      </c>
      <c r="L11" s="31">
        <v>0</v>
      </c>
      <c r="M11" s="32">
        <f t="shared" si="0"/>
        <v>17524.861</v>
      </c>
      <c r="N11" s="8"/>
      <c r="O11" s="37"/>
      <c r="P11" s="36"/>
      <c r="Q11" s="51">
        <v>15500</v>
      </c>
      <c r="R11" s="51">
        <v>0</v>
      </c>
      <c r="S11" s="51">
        <v>0</v>
      </c>
      <c r="T11" s="51">
        <v>1594</v>
      </c>
      <c r="U11" s="78">
        <v>431</v>
      </c>
      <c r="V11" s="51">
        <v>0</v>
      </c>
      <c r="W11" s="51">
        <v>0</v>
      </c>
      <c r="X11" s="51">
        <v>0</v>
      </c>
      <c r="Y11" s="51">
        <v>0</v>
      </c>
      <c r="Z11" s="52">
        <f t="shared" si="1"/>
        <v>17525</v>
      </c>
      <c r="AA11" s="38"/>
    </row>
    <row r="12" spans="1:27" ht="15">
      <c r="A12" s="6" t="s">
        <v>332</v>
      </c>
      <c r="B12" s="34" t="s">
        <v>120</v>
      </c>
      <c r="C12" s="34" t="s">
        <v>6</v>
      </c>
      <c r="D12" s="31">
        <f>2000+680+16000</f>
        <v>18680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f>12900+9600+11000+15000</f>
        <v>48500</v>
      </c>
      <c r="K12" s="31">
        <v>0</v>
      </c>
      <c r="L12" s="31">
        <v>0</v>
      </c>
      <c r="M12" s="32">
        <f t="shared" si="0"/>
        <v>67180</v>
      </c>
      <c r="N12" s="8"/>
      <c r="O12" s="37"/>
      <c r="P12" s="36"/>
      <c r="Q12" s="51">
        <v>18680</v>
      </c>
      <c r="R12" s="51">
        <v>0</v>
      </c>
      <c r="S12" s="51">
        <v>0</v>
      </c>
      <c r="T12" s="51">
        <v>0</v>
      </c>
      <c r="U12" s="78">
        <v>0</v>
      </c>
      <c r="V12" s="51">
        <v>0</v>
      </c>
      <c r="W12" s="51">
        <v>48500</v>
      </c>
      <c r="X12" s="51">
        <v>0</v>
      </c>
      <c r="Y12" s="51">
        <v>0</v>
      </c>
      <c r="Z12" s="52">
        <f t="shared" si="1"/>
        <v>67180</v>
      </c>
      <c r="AA12" s="38"/>
    </row>
    <row r="13" spans="1:27" ht="15">
      <c r="A13" s="6" t="s">
        <v>210</v>
      </c>
      <c r="B13" s="34" t="s">
        <v>309</v>
      </c>
      <c r="C13" s="34" t="s">
        <v>8</v>
      </c>
      <c r="D13" s="31">
        <v>30000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f t="shared" si="0"/>
        <v>30000</v>
      </c>
      <c r="N13" s="8"/>
      <c r="O13" s="37"/>
      <c r="P13" s="36"/>
      <c r="Q13" s="51">
        <v>30000</v>
      </c>
      <c r="R13" s="51">
        <v>0</v>
      </c>
      <c r="S13" s="51">
        <v>0</v>
      </c>
      <c r="T13" s="51">
        <v>0</v>
      </c>
      <c r="U13" s="78">
        <v>0</v>
      </c>
      <c r="V13" s="51">
        <v>0</v>
      </c>
      <c r="W13" s="51">
        <v>0</v>
      </c>
      <c r="X13" s="51">
        <v>0</v>
      </c>
      <c r="Y13" s="51">
        <v>0</v>
      </c>
      <c r="Z13" s="52">
        <f t="shared" si="1"/>
        <v>30000</v>
      </c>
      <c r="AA13" s="38"/>
    </row>
    <row r="14" spans="1:27" ht="15">
      <c r="A14" s="6" t="s">
        <v>81</v>
      </c>
      <c r="B14" s="34" t="s">
        <v>133</v>
      </c>
      <c r="C14" s="34" t="s">
        <v>82</v>
      </c>
      <c r="D14" s="31">
        <f>10000+5000+20000</f>
        <v>35000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f t="shared" si="0"/>
        <v>35000</v>
      </c>
      <c r="N14" s="8"/>
      <c r="O14" s="37"/>
      <c r="P14" s="36"/>
      <c r="Q14" s="51">
        <v>35000</v>
      </c>
      <c r="R14" s="51">
        <v>0</v>
      </c>
      <c r="S14" s="51">
        <v>0</v>
      </c>
      <c r="T14" s="51">
        <v>0</v>
      </c>
      <c r="U14" s="78">
        <v>0</v>
      </c>
      <c r="V14" s="51">
        <v>0</v>
      </c>
      <c r="W14" s="51">
        <v>0</v>
      </c>
      <c r="X14" s="51">
        <v>0</v>
      </c>
      <c r="Y14" s="51">
        <v>0</v>
      </c>
      <c r="Z14" s="52">
        <f t="shared" si="1"/>
        <v>35000</v>
      </c>
      <c r="AA14" s="38"/>
    </row>
    <row r="15" spans="1:27" ht="15">
      <c r="A15" s="6" t="s">
        <v>185</v>
      </c>
      <c r="B15" s="34" t="s">
        <v>134</v>
      </c>
      <c r="C15" s="34" t="s">
        <v>110</v>
      </c>
      <c r="D15" s="31">
        <v>5100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f t="shared" si="0"/>
        <v>5100</v>
      </c>
      <c r="N15" s="8"/>
      <c r="O15" s="37"/>
      <c r="P15" s="36"/>
      <c r="Q15" s="51">
        <v>5100</v>
      </c>
      <c r="R15" s="51">
        <v>0</v>
      </c>
      <c r="S15" s="51">
        <v>0</v>
      </c>
      <c r="T15" s="51">
        <v>0</v>
      </c>
      <c r="U15" s="78">
        <v>0</v>
      </c>
      <c r="V15" s="51">
        <v>0</v>
      </c>
      <c r="W15" s="51">
        <v>0</v>
      </c>
      <c r="X15" s="51">
        <v>0</v>
      </c>
      <c r="Y15" s="51">
        <v>0</v>
      </c>
      <c r="Z15" s="52">
        <f t="shared" si="1"/>
        <v>5100</v>
      </c>
      <c r="AA15" s="38"/>
    </row>
    <row r="16" spans="1:27" ht="15">
      <c r="A16" s="6" t="s">
        <v>310</v>
      </c>
      <c r="B16" s="34" t="s">
        <v>108</v>
      </c>
      <c r="C16" s="34" t="s">
        <v>6</v>
      </c>
      <c r="D16" s="31">
        <v>4000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f t="shared" si="0"/>
        <v>4000</v>
      </c>
      <c r="N16" s="8"/>
      <c r="O16" s="37"/>
      <c r="P16" s="36"/>
      <c r="Q16" s="51">
        <v>4000</v>
      </c>
      <c r="R16" s="51">
        <v>0</v>
      </c>
      <c r="S16" s="51">
        <v>0</v>
      </c>
      <c r="T16" s="51">
        <v>0</v>
      </c>
      <c r="U16" s="78">
        <v>0</v>
      </c>
      <c r="V16" s="51">
        <v>0</v>
      </c>
      <c r="W16" s="51">
        <v>0</v>
      </c>
      <c r="X16" s="51">
        <v>0</v>
      </c>
      <c r="Y16" s="51">
        <v>0</v>
      </c>
      <c r="Z16" s="52">
        <f t="shared" si="1"/>
        <v>4000</v>
      </c>
      <c r="AA16" s="38"/>
    </row>
    <row r="17" spans="1:27" ht="15">
      <c r="A17" s="6" t="s">
        <v>164</v>
      </c>
      <c r="B17" s="34" t="s">
        <v>163</v>
      </c>
      <c r="C17" s="34" t="s">
        <v>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f>50000+35000+15000</f>
        <v>100000</v>
      </c>
      <c r="K17" s="31">
        <v>0</v>
      </c>
      <c r="L17" s="31">
        <v>0</v>
      </c>
      <c r="M17" s="32">
        <f t="shared" si="0"/>
        <v>100000</v>
      </c>
      <c r="N17" s="8"/>
      <c r="O17" s="37"/>
      <c r="P17" s="13"/>
      <c r="Q17" s="51">
        <v>0</v>
      </c>
      <c r="R17" s="51">
        <v>0</v>
      </c>
      <c r="S17" s="51">
        <v>0</v>
      </c>
      <c r="T17" s="51">
        <v>0</v>
      </c>
      <c r="U17" s="78">
        <v>0</v>
      </c>
      <c r="V17" s="51">
        <v>0</v>
      </c>
      <c r="W17" s="51">
        <v>100000</v>
      </c>
      <c r="X17" s="51">
        <v>0</v>
      </c>
      <c r="Y17" s="51">
        <v>0</v>
      </c>
      <c r="Z17" s="52">
        <f t="shared" si="1"/>
        <v>100000</v>
      </c>
      <c r="AA17" s="38"/>
    </row>
    <row r="18" spans="1:27" ht="15">
      <c r="A18" s="6" t="s">
        <v>284</v>
      </c>
      <c r="B18" s="34" t="s">
        <v>285</v>
      </c>
      <c r="C18" s="34" t="s">
        <v>54</v>
      </c>
      <c r="D18" s="31">
        <v>1000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f t="shared" si="0"/>
        <v>1000</v>
      </c>
      <c r="N18" s="8"/>
      <c r="O18" s="37"/>
      <c r="P18" s="13"/>
      <c r="Q18" s="51">
        <v>1000</v>
      </c>
      <c r="R18" s="51">
        <v>0</v>
      </c>
      <c r="S18" s="51">
        <v>0</v>
      </c>
      <c r="T18" s="51">
        <v>0</v>
      </c>
      <c r="U18" s="78">
        <v>0</v>
      </c>
      <c r="V18" s="51">
        <v>0</v>
      </c>
      <c r="W18" s="51">
        <v>0</v>
      </c>
      <c r="X18" s="51">
        <v>0</v>
      </c>
      <c r="Y18" s="51">
        <v>0</v>
      </c>
      <c r="Z18" s="52">
        <f t="shared" si="1"/>
        <v>1000</v>
      </c>
      <c r="AA18" s="38"/>
    </row>
    <row r="19" spans="1:27" ht="15">
      <c r="A19" s="6" t="s">
        <v>286</v>
      </c>
      <c r="B19" s="34" t="s">
        <v>179</v>
      </c>
      <c r="C19" s="34" t="s">
        <v>7</v>
      </c>
      <c r="D19" s="31">
        <f>3015.585+1500+10000</f>
        <v>14515.585</v>
      </c>
      <c r="E19" s="31">
        <v>0</v>
      </c>
      <c r="F19" s="31">
        <v>0</v>
      </c>
      <c r="G19" s="31">
        <v>0</v>
      </c>
      <c r="H19" s="31">
        <v>0</v>
      </c>
      <c r="I19" s="31">
        <f>3000+537.9</f>
        <v>3537.9</v>
      </c>
      <c r="J19" s="31">
        <v>5000</v>
      </c>
      <c r="K19" s="31">
        <v>0</v>
      </c>
      <c r="L19" s="31">
        <v>3736.379</v>
      </c>
      <c r="M19" s="32">
        <f t="shared" si="0"/>
        <v>26789.864</v>
      </c>
      <c r="N19" s="8"/>
      <c r="O19" s="37"/>
      <c r="P19" s="36"/>
      <c r="Q19" s="51">
        <v>14516</v>
      </c>
      <c r="R19" s="51">
        <v>0</v>
      </c>
      <c r="S19" s="51">
        <v>0</v>
      </c>
      <c r="T19" s="51">
        <v>0</v>
      </c>
      <c r="U19" s="78">
        <v>0</v>
      </c>
      <c r="V19" s="51">
        <v>3538</v>
      </c>
      <c r="W19" s="51">
        <v>5000</v>
      </c>
      <c r="X19" s="51">
        <v>0</v>
      </c>
      <c r="Y19" s="51">
        <v>0</v>
      </c>
      <c r="Z19" s="52">
        <f t="shared" si="1"/>
        <v>23054</v>
      </c>
      <c r="AA19" s="38"/>
    </row>
    <row r="20" spans="1:27" ht="15">
      <c r="A20" s="6" t="s">
        <v>187</v>
      </c>
      <c r="B20" s="34" t="s">
        <v>95</v>
      </c>
      <c r="C20" s="34" t="s">
        <v>52</v>
      </c>
      <c r="D20" s="31">
        <v>20000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f t="shared" si="0"/>
        <v>20000</v>
      </c>
      <c r="N20" s="8"/>
      <c r="O20" s="37"/>
      <c r="P20" s="36"/>
      <c r="Q20" s="51">
        <v>20000</v>
      </c>
      <c r="R20" s="51">
        <v>0</v>
      </c>
      <c r="S20" s="51">
        <v>0</v>
      </c>
      <c r="T20" s="51">
        <v>0</v>
      </c>
      <c r="U20" s="78">
        <v>0</v>
      </c>
      <c r="V20" s="51">
        <v>0</v>
      </c>
      <c r="W20" s="51">
        <v>0</v>
      </c>
      <c r="X20" s="51">
        <v>0</v>
      </c>
      <c r="Y20" s="51">
        <v>0</v>
      </c>
      <c r="Z20" s="52">
        <f t="shared" si="1"/>
        <v>20000</v>
      </c>
      <c r="AA20" s="38"/>
    </row>
    <row r="21" spans="1:27" ht="13.5" customHeight="1">
      <c r="A21" s="6" t="s">
        <v>180</v>
      </c>
      <c r="B21" s="34" t="s">
        <v>157</v>
      </c>
      <c r="C21" s="34" t="s">
        <v>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f>36000+44000</f>
        <v>80000</v>
      </c>
      <c r="K21" s="31">
        <v>0</v>
      </c>
      <c r="L21" s="31">
        <v>0</v>
      </c>
      <c r="M21" s="32">
        <f t="shared" si="0"/>
        <v>80000</v>
      </c>
      <c r="N21" s="8"/>
      <c r="O21" s="37"/>
      <c r="P21" s="36"/>
      <c r="Q21" s="51">
        <v>0</v>
      </c>
      <c r="R21" s="51">
        <v>0</v>
      </c>
      <c r="S21" s="51">
        <v>0</v>
      </c>
      <c r="T21" s="51">
        <v>0</v>
      </c>
      <c r="U21" s="78">
        <v>0</v>
      </c>
      <c r="V21" s="51">
        <v>0</v>
      </c>
      <c r="W21" s="51">
        <v>80000</v>
      </c>
      <c r="X21" s="51">
        <v>0</v>
      </c>
      <c r="Y21" s="51">
        <v>0</v>
      </c>
      <c r="Z21" s="52">
        <f t="shared" si="1"/>
        <v>80000</v>
      </c>
      <c r="AA21" s="38"/>
    </row>
    <row r="22" spans="1:27" ht="13.5" customHeight="1">
      <c r="A22" s="6" t="s">
        <v>311</v>
      </c>
      <c r="B22" s="34" t="s">
        <v>312</v>
      </c>
      <c r="C22" s="34" t="s">
        <v>52</v>
      </c>
      <c r="D22" s="31">
        <v>10000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f t="shared" si="0"/>
        <v>10000</v>
      </c>
      <c r="N22" s="8"/>
      <c r="O22" s="37"/>
      <c r="P22" s="36"/>
      <c r="Q22" s="51">
        <v>10000</v>
      </c>
      <c r="R22" s="51">
        <v>0</v>
      </c>
      <c r="S22" s="51">
        <v>0</v>
      </c>
      <c r="T22" s="51">
        <v>0</v>
      </c>
      <c r="U22" s="78">
        <v>0</v>
      </c>
      <c r="V22" s="51">
        <v>0</v>
      </c>
      <c r="W22" s="51"/>
      <c r="X22" s="51">
        <v>0</v>
      </c>
      <c r="Y22" s="51">
        <v>0</v>
      </c>
      <c r="Z22" s="52">
        <f t="shared" si="1"/>
        <v>10000</v>
      </c>
      <c r="AA22" s="38"/>
    </row>
    <row r="23" spans="1:27" ht="13.5" customHeight="1">
      <c r="A23" s="6" t="s">
        <v>287</v>
      </c>
      <c r="B23" s="34" t="s">
        <v>107</v>
      </c>
      <c r="C23" s="34" t="s">
        <v>52</v>
      </c>
      <c r="D23" s="31">
        <f>55000+2000</f>
        <v>57000</v>
      </c>
      <c r="E23" s="31">
        <v>0</v>
      </c>
      <c r="F23" s="31">
        <v>0</v>
      </c>
      <c r="G23" s="31">
        <v>988.402</v>
      </c>
      <c r="H23" s="31">
        <v>0</v>
      </c>
      <c r="I23" s="31">
        <v>0</v>
      </c>
      <c r="J23" s="31">
        <f>43000+27000</f>
        <v>70000</v>
      </c>
      <c r="K23" s="31">
        <v>0</v>
      </c>
      <c r="L23" s="31">
        <v>0</v>
      </c>
      <c r="M23" s="32">
        <f t="shared" si="0"/>
        <v>127988.402</v>
      </c>
      <c r="N23" s="8"/>
      <c r="O23" s="37"/>
      <c r="P23" s="36"/>
      <c r="Q23" s="51">
        <v>57000</v>
      </c>
      <c r="R23" s="51">
        <v>0</v>
      </c>
      <c r="S23" s="51">
        <v>0</v>
      </c>
      <c r="T23" s="51">
        <v>988</v>
      </c>
      <c r="U23" s="78">
        <v>0</v>
      </c>
      <c r="V23" s="51">
        <v>0</v>
      </c>
      <c r="W23" s="51">
        <v>70000</v>
      </c>
      <c r="X23" s="51">
        <v>0</v>
      </c>
      <c r="Y23" s="51">
        <v>0</v>
      </c>
      <c r="Z23" s="52">
        <f t="shared" si="1"/>
        <v>127988</v>
      </c>
      <c r="AA23" s="38"/>
    </row>
    <row r="24" spans="1:27" ht="15">
      <c r="A24" s="6" t="s">
        <v>181</v>
      </c>
      <c r="B24" s="34" t="s">
        <v>111</v>
      </c>
      <c r="C24" s="34" t="s">
        <v>54</v>
      </c>
      <c r="D24" s="31">
        <v>5000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f t="shared" si="0"/>
        <v>5000</v>
      </c>
      <c r="N24" s="8"/>
      <c r="O24" s="37"/>
      <c r="P24" s="36"/>
      <c r="Q24" s="51">
        <v>5000</v>
      </c>
      <c r="R24" s="51">
        <v>0</v>
      </c>
      <c r="S24" s="51">
        <v>0</v>
      </c>
      <c r="T24" s="51">
        <v>0</v>
      </c>
      <c r="U24" s="78">
        <v>0</v>
      </c>
      <c r="V24" s="51">
        <v>0</v>
      </c>
      <c r="W24" s="51">
        <v>0</v>
      </c>
      <c r="X24" s="51">
        <v>0</v>
      </c>
      <c r="Y24" s="51">
        <v>0</v>
      </c>
      <c r="Z24" s="52">
        <f t="shared" si="1"/>
        <v>5000</v>
      </c>
      <c r="AA24" s="38"/>
    </row>
    <row r="25" spans="1:27" ht="15">
      <c r="A25" s="6" t="s">
        <v>186</v>
      </c>
      <c r="B25" s="34" t="s">
        <v>19</v>
      </c>
      <c r="C25" s="34" t="s">
        <v>54</v>
      </c>
      <c r="D25" s="31">
        <v>7500</v>
      </c>
      <c r="E25" s="31">
        <v>0</v>
      </c>
      <c r="F25" s="31">
        <v>22.576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f t="shared" si="0"/>
        <v>7522.576</v>
      </c>
      <c r="N25" s="8"/>
      <c r="O25" s="37"/>
      <c r="P25" s="36"/>
      <c r="Q25" s="51">
        <v>7500</v>
      </c>
      <c r="R25" s="51">
        <v>0</v>
      </c>
      <c r="S25" s="51">
        <v>23</v>
      </c>
      <c r="T25" s="51">
        <v>0</v>
      </c>
      <c r="U25" s="78">
        <v>0</v>
      </c>
      <c r="V25" s="51">
        <v>0</v>
      </c>
      <c r="W25" s="51">
        <v>0</v>
      </c>
      <c r="X25" s="51">
        <v>0</v>
      </c>
      <c r="Y25" s="51">
        <v>0</v>
      </c>
      <c r="Z25" s="52">
        <f t="shared" si="1"/>
        <v>7523</v>
      </c>
      <c r="AA25" s="38"/>
    </row>
    <row r="26" spans="1:27" ht="15">
      <c r="A26" s="6" t="s">
        <v>188</v>
      </c>
      <c r="B26" s="34" t="s">
        <v>103</v>
      </c>
      <c r="C26" s="34" t="s">
        <v>10</v>
      </c>
      <c r="D26" s="31">
        <v>5500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f t="shared" si="0"/>
        <v>5500</v>
      </c>
      <c r="N26" s="8"/>
      <c r="O26" s="37"/>
      <c r="P26" s="36"/>
      <c r="Q26" s="51">
        <v>5500</v>
      </c>
      <c r="R26" s="51">
        <v>0</v>
      </c>
      <c r="S26" s="51">
        <v>0</v>
      </c>
      <c r="T26" s="51">
        <v>0</v>
      </c>
      <c r="U26" s="78">
        <v>0</v>
      </c>
      <c r="V26" s="51">
        <v>0</v>
      </c>
      <c r="W26" s="51">
        <v>0</v>
      </c>
      <c r="X26" s="51">
        <v>0</v>
      </c>
      <c r="Y26" s="51">
        <v>0</v>
      </c>
      <c r="Z26" s="52">
        <f t="shared" si="1"/>
        <v>5500</v>
      </c>
      <c r="AA26" s="38"/>
    </row>
    <row r="27" spans="1:27" ht="15">
      <c r="A27" s="6" t="s">
        <v>189</v>
      </c>
      <c r="B27" s="34" t="s">
        <v>112</v>
      </c>
      <c r="C27" s="34" t="s">
        <v>4</v>
      </c>
      <c r="D27" s="31">
        <v>0</v>
      </c>
      <c r="E27" s="31">
        <v>0</v>
      </c>
      <c r="F27" s="31">
        <v>104.863</v>
      </c>
      <c r="G27" s="31">
        <v>0</v>
      </c>
      <c r="H27" s="31">
        <v>0</v>
      </c>
      <c r="I27" s="31">
        <v>0</v>
      </c>
      <c r="J27" s="31">
        <v>50000</v>
      </c>
      <c r="K27" s="31">
        <v>0</v>
      </c>
      <c r="L27" s="31">
        <v>0</v>
      </c>
      <c r="M27" s="32">
        <f t="shared" si="0"/>
        <v>50104.863</v>
      </c>
      <c r="N27" s="8"/>
      <c r="O27" s="37"/>
      <c r="P27" s="36"/>
      <c r="Q27" s="51">
        <v>0</v>
      </c>
      <c r="R27" s="51">
        <v>0</v>
      </c>
      <c r="S27" s="51">
        <v>105</v>
      </c>
      <c r="T27" s="51">
        <v>0</v>
      </c>
      <c r="U27" s="78">
        <v>0</v>
      </c>
      <c r="V27" s="51">
        <v>0</v>
      </c>
      <c r="W27" s="51">
        <v>50000</v>
      </c>
      <c r="X27" s="51">
        <v>0</v>
      </c>
      <c r="Y27" s="51">
        <v>0</v>
      </c>
      <c r="Z27" s="52">
        <f t="shared" si="1"/>
        <v>50105</v>
      </c>
      <c r="AA27" s="38"/>
    </row>
    <row r="28" spans="1:27" ht="15">
      <c r="A28" s="6" t="s">
        <v>183</v>
      </c>
      <c r="B28" s="34" t="s">
        <v>96</v>
      </c>
      <c r="C28" s="34" t="s">
        <v>54</v>
      </c>
      <c r="D28" s="31">
        <f>15000+10000</f>
        <v>25000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f t="shared" si="0"/>
        <v>25000</v>
      </c>
      <c r="N28" s="8"/>
      <c r="O28" s="37"/>
      <c r="P28" s="36"/>
      <c r="Q28" s="51">
        <v>25000</v>
      </c>
      <c r="R28" s="51">
        <v>0</v>
      </c>
      <c r="S28" s="51">
        <v>0</v>
      </c>
      <c r="T28" s="51">
        <v>0</v>
      </c>
      <c r="U28" s="78">
        <v>0</v>
      </c>
      <c r="V28" s="51">
        <v>0</v>
      </c>
      <c r="W28" s="51">
        <v>0</v>
      </c>
      <c r="X28" s="51">
        <v>0</v>
      </c>
      <c r="Y28" s="51">
        <v>0</v>
      </c>
      <c r="Z28" s="52">
        <f t="shared" si="1"/>
        <v>25000</v>
      </c>
      <c r="AA28" s="38"/>
    </row>
    <row r="29" spans="1:27" ht="15">
      <c r="A29" s="6" t="s">
        <v>313</v>
      </c>
      <c r="B29" s="34" t="s">
        <v>122</v>
      </c>
      <c r="C29" s="34" t="s">
        <v>82</v>
      </c>
      <c r="D29" s="31">
        <f>7000+12000+1000+5000+20000</f>
        <v>45000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2">
        <f t="shared" si="0"/>
        <v>45000</v>
      </c>
      <c r="N29" s="8"/>
      <c r="O29" s="37"/>
      <c r="P29" s="36"/>
      <c r="Q29" s="51">
        <v>45000</v>
      </c>
      <c r="R29" s="51">
        <v>0</v>
      </c>
      <c r="S29" s="51">
        <v>0</v>
      </c>
      <c r="T29" s="51">
        <v>0</v>
      </c>
      <c r="U29" s="78">
        <v>0</v>
      </c>
      <c r="V29" s="51">
        <v>0</v>
      </c>
      <c r="W29" s="51">
        <v>0</v>
      </c>
      <c r="X29" s="51">
        <v>0</v>
      </c>
      <c r="Y29" s="51">
        <v>0</v>
      </c>
      <c r="Z29" s="52">
        <f t="shared" si="1"/>
        <v>45000</v>
      </c>
      <c r="AA29" s="38"/>
    </row>
    <row r="30" spans="1:27" ht="15">
      <c r="A30" s="6" t="s">
        <v>343</v>
      </c>
      <c r="B30" s="34" t="s">
        <v>362</v>
      </c>
      <c r="C30" s="34" t="s">
        <v>47</v>
      </c>
      <c r="D30" s="31">
        <f>6500+10000</f>
        <v>16500</v>
      </c>
      <c r="E30" s="31">
        <v>0</v>
      </c>
      <c r="F30" s="31">
        <v>0</v>
      </c>
      <c r="G30" s="31">
        <v>0</v>
      </c>
      <c r="H30" s="31">
        <v>0</v>
      </c>
      <c r="I30" s="31">
        <f>3000+307.8</f>
        <v>3307.8</v>
      </c>
      <c r="J30" s="31">
        <v>0</v>
      </c>
      <c r="K30" s="31">
        <v>0</v>
      </c>
      <c r="L30" s="31">
        <v>0</v>
      </c>
      <c r="M30" s="32">
        <f t="shared" si="0"/>
        <v>19807.8</v>
      </c>
      <c r="N30" s="8"/>
      <c r="O30" s="37"/>
      <c r="P30" s="36"/>
      <c r="Q30" s="51">
        <v>16500</v>
      </c>
      <c r="R30" s="51">
        <v>0</v>
      </c>
      <c r="S30" s="51">
        <v>0</v>
      </c>
      <c r="T30" s="51">
        <v>0</v>
      </c>
      <c r="U30" s="78">
        <v>0</v>
      </c>
      <c r="V30" s="51">
        <v>3308</v>
      </c>
      <c r="W30" s="51">
        <v>0</v>
      </c>
      <c r="X30" s="51">
        <v>0</v>
      </c>
      <c r="Y30" s="51">
        <v>0</v>
      </c>
      <c r="Z30" s="52">
        <f t="shared" si="1"/>
        <v>19808</v>
      </c>
      <c r="AA30" s="38"/>
    </row>
    <row r="31" spans="1:27" ht="15">
      <c r="A31" s="6" t="s">
        <v>190</v>
      </c>
      <c r="B31" s="34" t="s">
        <v>155</v>
      </c>
      <c r="C31" s="34" t="s">
        <v>82</v>
      </c>
      <c r="D31" s="31">
        <f>15000+15000</f>
        <v>30000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2">
        <f t="shared" si="0"/>
        <v>30000</v>
      </c>
      <c r="N31" s="8"/>
      <c r="O31" s="37"/>
      <c r="P31" s="36"/>
      <c r="Q31" s="51">
        <v>30000</v>
      </c>
      <c r="R31" s="51">
        <v>0</v>
      </c>
      <c r="S31" s="51">
        <v>0</v>
      </c>
      <c r="T31" s="51">
        <v>0</v>
      </c>
      <c r="U31" s="78">
        <v>0</v>
      </c>
      <c r="V31" s="51">
        <v>0</v>
      </c>
      <c r="W31" s="51">
        <v>0</v>
      </c>
      <c r="X31" s="51">
        <v>0</v>
      </c>
      <c r="Y31" s="51">
        <v>0</v>
      </c>
      <c r="Z31" s="52">
        <f t="shared" si="1"/>
        <v>30000</v>
      </c>
      <c r="AA31" s="38"/>
    </row>
    <row r="32" spans="1:27" ht="15">
      <c r="A32" s="6" t="s">
        <v>289</v>
      </c>
      <c r="B32" s="34" t="s">
        <v>361</v>
      </c>
      <c r="C32" s="34" t="s">
        <v>5</v>
      </c>
      <c r="D32" s="31">
        <f>832.3+2750</f>
        <v>3582.3</v>
      </c>
      <c r="E32" s="31">
        <v>0</v>
      </c>
      <c r="F32" s="31">
        <v>0</v>
      </c>
      <c r="G32" s="31">
        <v>1317.87</v>
      </c>
      <c r="H32" s="31">
        <v>0</v>
      </c>
      <c r="I32" s="31">
        <v>0</v>
      </c>
      <c r="J32" s="31">
        <v>0</v>
      </c>
      <c r="K32" s="31">
        <v>0</v>
      </c>
      <c r="L32" s="31">
        <v>2822.028</v>
      </c>
      <c r="M32" s="32">
        <f t="shared" si="0"/>
        <v>7722.198</v>
      </c>
      <c r="N32" s="8"/>
      <c r="O32" s="37"/>
      <c r="P32" s="36"/>
      <c r="Q32" s="51">
        <v>3582</v>
      </c>
      <c r="R32" s="51">
        <v>0</v>
      </c>
      <c r="S32" s="51">
        <v>0</v>
      </c>
      <c r="T32" s="51">
        <v>1318</v>
      </c>
      <c r="U32" s="78">
        <v>0</v>
      </c>
      <c r="V32" s="51">
        <v>0</v>
      </c>
      <c r="W32" s="51">
        <v>0</v>
      </c>
      <c r="X32" s="51">
        <v>0</v>
      </c>
      <c r="Y32" s="51">
        <v>0</v>
      </c>
      <c r="Z32" s="52">
        <f t="shared" si="1"/>
        <v>4900</v>
      </c>
      <c r="AA32" s="38"/>
    </row>
    <row r="33" spans="1:27" ht="15">
      <c r="A33" s="6" t="s">
        <v>191</v>
      </c>
      <c r="B33" s="34" t="s">
        <v>20</v>
      </c>
      <c r="C33" s="34" t="s">
        <v>54</v>
      </c>
      <c r="D33" s="31">
        <f>2000+5000</f>
        <v>7000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2">
        <f t="shared" si="0"/>
        <v>7000</v>
      </c>
      <c r="N33" s="8"/>
      <c r="O33" s="37"/>
      <c r="P33" s="36"/>
      <c r="Q33" s="51">
        <v>7000</v>
      </c>
      <c r="R33" s="51">
        <v>0</v>
      </c>
      <c r="S33" s="51">
        <v>0</v>
      </c>
      <c r="T33" s="51">
        <v>0</v>
      </c>
      <c r="U33" s="78">
        <v>0</v>
      </c>
      <c r="V33" s="51">
        <v>0</v>
      </c>
      <c r="W33" s="51">
        <v>0</v>
      </c>
      <c r="X33" s="51">
        <v>0</v>
      </c>
      <c r="Y33" s="51">
        <v>0</v>
      </c>
      <c r="Z33" s="52">
        <f t="shared" si="1"/>
        <v>7000</v>
      </c>
      <c r="AA33" s="38"/>
    </row>
    <row r="34" spans="1:27" ht="15">
      <c r="A34" s="6" t="s">
        <v>192</v>
      </c>
      <c r="B34" s="34" t="s">
        <v>104</v>
      </c>
      <c r="C34" s="34" t="s">
        <v>54</v>
      </c>
      <c r="D34" s="31">
        <f>15000+20000</f>
        <v>35000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f>13000+7000</f>
        <v>20000</v>
      </c>
      <c r="K34" s="31">
        <v>0</v>
      </c>
      <c r="L34" s="31">
        <v>0</v>
      </c>
      <c r="M34" s="32">
        <f t="shared" si="0"/>
        <v>55000</v>
      </c>
      <c r="N34" s="8"/>
      <c r="O34" s="37"/>
      <c r="P34" s="36"/>
      <c r="Q34" s="51">
        <v>35000</v>
      </c>
      <c r="R34" s="51">
        <v>0</v>
      </c>
      <c r="S34" s="51">
        <v>0</v>
      </c>
      <c r="T34" s="51">
        <v>0</v>
      </c>
      <c r="U34" s="78">
        <v>0</v>
      </c>
      <c r="V34" s="51">
        <v>0</v>
      </c>
      <c r="W34" s="51">
        <v>20000</v>
      </c>
      <c r="X34" s="51">
        <v>0</v>
      </c>
      <c r="Y34" s="51">
        <v>0</v>
      </c>
      <c r="Z34" s="52">
        <f t="shared" si="1"/>
        <v>55000</v>
      </c>
      <c r="AA34" s="38"/>
    </row>
    <row r="35" spans="1:27" ht="15">
      <c r="A35" s="6" t="s">
        <v>203</v>
      </c>
      <c r="B35" s="34" t="s">
        <v>135</v>
      </c>
      <c r="C35" s="34" t="s">
        <v>9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f>8300+23000</f>
        <v>31300</v>
      </c>
      <c r="K35" s="31">
        <v>0</v>
      </c>
      <c r="L35" s="31">
        <v>0</v>
      </c>
      <c r="M35" s="32">
        <f t="shared" si="0"/>
        <v>31300</v>
      </c>
      <c r="N35" s="8"/>
      <c r="O35" s="37"/>
      <c r="P35" s="36"/>
      <c r="Q35" s="51">
        <v>0</v>
      </c>
      <c r="R35" s="51">
        <v>0</v>
      </c>
      <c r="S35" s="51">
        <v>0</v>
      </c>
      <c r="T35" s="51">
        <v>0</v>
      </c>
      <c r="U35" s="78">
        <v>0</v>
      </c>
      <c r="V35" s="51">
        <v>0</v>
      </c>
      <c r="W35" s="51">
        <v>31300</v>
      </c>
      <c r="X35" s="51">
        <v>0</v>
      </c>
      <c r="Y35" s="51">
        <v>0</v>
      </c>
      <c r="Z35" s="52">
        <f t="shared" si="1"/>
        <v>31300</v>
      </c>
      <c r="AA35" s="38"/>
    </row>
    <row r="36" spans="1:27" ht="15">
      <c r="A36" s="6" t="s">
        <v>193</v>
      </c>
      <c r="B36" s="34" t="s">
        <v>128</v>
      </c>
      <c r="C36" s="34" t="s">
        <v>342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21000</v>
      </c>
      <c r="K36" s="31">
        <v>0</v>
      </c>
      <c r="L36" s="31">
        <v>0</v>
      </c>
      <c r="M36" s="32">
        <f t="shared" si="0"/>
        <v>21000</v>
      </c>
      <c r="N36" s="8"/>
      <c r="O36" s="37"/>
      <c r="P36" s="36"/>
      <c r="Q36" s="51">
        <v>0</v>
      </c>
      <c r="R36" s="51">
        <v>0</v>
      </c>
      <c r="S36" s="51">
        <v>0</v>
      </c>
      <c r="T36" s="51">
        <v>0</v>
      </c>
      <c r="U36" s="78">
        <v>0</v>
      </c>
      <c r="V36" s="51">
        <v>0</v>
      </c>
      <c r="W36" s="51">
        <v>21000</v>
      </c>
      <c r="X36" s="51">
        <v>0</v>
      </c>
      <c r="Y36" s="51">
        <v>0</v>
      </c>
      <c r="Z36" s="52">
        <f t="shared" si="1"/>
        <v>21000</v>
      </c>
      <c r="AA36" s="38"/>
    </row>
    <row r="37" spans="1:27" ht="15">
      <c r="A37" s="6" t="s">
        <v>74</v>
      </c>
      <c r="B37" s="34" t="s">
        <v>64</v>
      </c>
      <c r="C37" s="34" t="s">
        <v>7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5000</v>
      </c>
      <c r="J37" s="31">
        <v>0</v>
      </c>
      <c r="K37" s="31">
        <v>0</v>
      </c>
      <c r="L37" s="31">
        <v>0</v>
      </c>
      <c r="M37" s="32">
        <f t="shared" si="0"/>
        <v>5000</v>
      </c>
      <c r="N37" s="3"/>
      <c r="O37" s="37"/>
      <c r="P37" s="36"/>
      <c r="Q37" s="51">
        <v>0</v>
      </c>
      <c r="R37" s="51">
        <v>0</v>
      </c>
      <c r="S37" s="51">
        <v>0</v>
      </c>
      <c r="T37" s="51">
        <v>0</v>
      </c>
      <c r="U37" s="78">
        <v>0</v>
      </c>
      <c r="V37" s="51">
        <v>5000</v>
      </c>
      <c r="W37" s="51">
        <v>0</v>
      </c>
      <c r="X37" s="51">
        <v>0</v>
      </c>
      <c r="Y37" s="51">
        <v>0</v>
      </c>
      <c r="Z37" s="52">
        <f t="shared" si="1"/>
        <v>5000</v>
      </c>
      <c r="AA37" s="38"/>
    </row>
    <row r="38" spans="1:27" ht="15">
      <c r="A38" s="6" t="s">
        <v>194</v>
      </c>
      <c r="B38" s="34" t="s">
        <v>136</v>
      </c>
      <c r="C38" s="34" t="s">
        <v>82</v>
      </c>
      <c r="D38" s="31">
        <f>3000+1000</f>
        <v>4000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f t="shared" si="0"/>
        <v>4000</v>
      </c>
      <c r="N38" s="8"/>
      <c r="O38" s="37"/>
      <c r="P38" s="36"/>
      <c r="Q38" s="51">
        <v>4000</v>
      </c>
      <c r="R38" s="51">
        <v>0</v>
      </c>
      <c r="S38" s="51">
        <v>0</v>
      </c>
      <c r="T38" s="51">
        <v>0</v>
      </c>
      <c r="U38" s="78">
        <v>0</v>
      </c>
      <c r="V38" s="51">
        <v>0</v>
      </c>
      <c r="W38" s="51">
        <v>0</v>
      </c>
      <c r="X38" s="51">
        <v>0</v>
      </c>
      <c r="Y38" s="51">
        <v>0</v>
      </c>
      <c r="Z38" s="52">
        <f t="shared" si="1"/>
        <v>4000</v>
      </c>
      <c r="AA38" s="38"/>
    </row>
    <row r="39" spans="1:27" ht="15">
      <c r="A39" s="6" t="s">
        <v>204</v>
      </c>
      <c r="B39" s="34" t="s">
        <v>65</v>
      </c>
      <c r="C39" s="34" t="s">
        <v>6</v>
      </c>
      <c r="D39" s="31">
        <v>1500</v>
      </c>
      <c r="E39" s="31">
        <v>0</v>
      </c>
      <c r="F39" s="31">
        <v>0</v>
      </c>
      <c r="G39" s="31">
        <v>0</v>
      </c>
      <c r="H39" s="31">
        <v>0</v>
      </c>
      <c r="I39" s="31">
        <v>3616</v>
      </c>
      <c r="J39" s="31">
        <v>0</v>
      </c>
      <c r="K39" s="31">
        <v>0</v>
      </c>
      <c r="L39" s="31">
        <v>2792.284</v>
      </c>
      <c r="M39" s="32">
        <f aca="true" t="shared" si="2" ref="M39:M66">SUM(D39:L39)</f>
        <v>7908.284</v>
      </c>
      <c r="N39" s="8"/>
      <c r="O39" s="37"/>
      <c r="P39" s="36"/>
      <c r="Q39" s="51">
        <v>1500</v>
      </c>
      <c r="R39" s="51">
        <v>0</v>
      </c>
      <c r="S39" s="51">
        <v>0</v>
      </c>
      <c r="T39" s="51">
        <v>0</v>
      </c>
      <c r="U39" s="78">
        <v>0</v>
      </c>
      <c r="V39" s="51">
        <v>3616</v>
      </c>
      <c r="W39" s="51">
        <v>0</v>
      </c>
      <c r="X39" s="51">
        <v>0</v>
      </c>
      <c r="Y39" s="51">
        <v>0</v>
      </c>
      <c r="Z39" s="52">
        <f t="shared" si="1"/>
        <v>5116</v>
      </c>
      <c r="AA39" s="38"/>
    </row>
    <row r="40" spans="1:27" ht="15">
      <c r="A40" s="6" t="s">
        <v>195</v>
      </c>
      <c r="B40" s="34" t="s">
        <v>109</v>
      </c>
      <c r="C40" s="34" t="s">
        <v>9</v>
      </c>
      <c r="D40" s="31">
        <v>5000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5000</v>
      </c>
      <c r="K40" s="31">
        <v>0</v>
      </c>
      <c r="L40" s="31">
        <v>0</v>
      </c>
      <c r="M40" s="32">
        <f t="shared" si="2"/>
        <v>10000</v>
      </c>
      <c r="N40" s="8"/>
      <c r="O40" s="37"/>
      <c r="P40" s="36"/>
      <c r="Q40" s="51">
        <v>5000</v>
      </c>
      <c r="R40" s="51">
        <v>0</v>
      </c>
      <c r="S40" s="51">
        <v>0</v>
      </c>
      <c r="T40" s="51">
        <v>0</v>
      </c>
      <c r="U40" s="78">
        <v>0</v>
      </c>
      <c r="V40" s="51">
        <v>0</v>
      </c>
      <c r="W40" s="51">
        <v>5000</v>
      </c>
      <c r="X40" s="51">
        <v>0</v>
      </c>
      <c r="Y40" s="51">
        <v>0</v>
      </c>
      <c r="Z40" s="52">
        <f t="shared" si="1"/>
        <v>10000</v>
      </c>
      <c r="AA40" s="38"/>
    </row>
    <row r="41" spans="1:27" ht="15">
      <c r="A41" s="6" t="s">
        <v>196</v>
      </c>
      <c r="B41" s="34" t="s">
        <v>21</v>
      </c>
      <c r="C41" s="34" t="s">
        <v>3</v>
      </c>
      <c r="D41" s="31">
        <v>1500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f t="shared" si="2"/>
        <v>1500</v>
      </c>
      <c r="N41" s="8"/>
      <c r="O41" s="37"/>
      <c r="P41" s="36"/>
      <c r="Q41" s="51">
        <v>1500</v>
      </c>
      <c r="R41" s="51">
        <v>0</v>
      </c>
      <c r="S41" s="51">
        <v>0</v>
      </c>
      <c r="T41" s="51">
        <v>0</v>
      </c>
      <c r="U41" s="78">
        <v>0</v>
      </c>
      <c r="V41" s="51">
        <v>0</v>
      </c>
      <c r="W41" s="51">
        <v>0</v>
      </c>
      <c r="X41" s="51">
        <v>0</v>
      </c>
      <c r="Y41" s="51">
        <v>0</v>
      </c>
      <c r="Z41" s="52">
        <f t="shared" si="1"/>
        <v>1500</v>
      </c>
      <c r="AA41" s="38"/>
    </row>
    <row r="42" spans="1:27" ht="15">
      <c r="A42" s="6" t="s">
        <v>197</v>
      </c>
      <c r="B42" s="34" t="s">
        <v>360</v>
      </c>
      <c r="C42" s="34" t="s">
        <v>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13000</v>
      </c>
      <c r="K42" s="31">
        <v>0</v>
      </c>
      <c r="L42" s="31">
        <v>0</v>
      </c>
      <c r="M42" s="32">
        <f t="shared" si="2"/>
        <v>13000</v>
      </c>
      <c r="N42" s="8"/>
      <c r="O42" s="37"/>
      <c r="P42" s="36"/>
      <c r="Q42" s="51">
        <v>0</v>
      </c>
      <c r="R42" s="51">
        <v>0</v>
      </c>
      <c r="S42" s="51">
        <v>0</v>
      </c>
      <c r="T42" s="51">
        <v>0</v>
      </c>
      <c r="U42" s="78">
        <v>0</v>
      </c>
      <c r="V42" s="51">
        <v>0</v>
      </c>
      <c r="W42" s="51">
        <v>13000</v>
      </c>
      <c r="X42" s="51">
        <v>0</v>
      </c>
      <c r="Y42" s="51">
        <v>0</v>
      </c>
      <c r="Z42" s="52">
        <f t="shared" si="1"/>
        <v>13000</v>
      </c>
      <c r="AA42" s="38"/>
    </row>
    <row r="43" spans="1:27" ht="15">
      <c r="A43" s="6" t="s">
        <v>206</v>
      </c>
      <c r="B43" s="34" t="s">
        <v>359</v>
      </c>
      <c r="C43" s="34" t="s">
        <v>54</v>
      </c>
      <c r="D43" s="31">
        <v>1500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f t="shared" si="2"/>
        <v>1500</v>
      </c>
      <c r="N43" s="8"/>
      <c r="O43" s="37"/>
      <c r="P43" s="36"/>
      <c r="Q43" s="51">
        <v>1500</v>
      </c>
      <c r="R43" s="51">
        <v>0</v>
      </c>
      <c r="S43" s="51">
        <v>0</v>
      </c>
      <c r="T43" s="51">
        <v>0</v>
      </c>
      <c r="U43" s="78">
        <v>0</v>
      </c>
      <c r="V43" s="51">
        <v>0</v>
      </c>
      <c r="W43" s="51">
        <v>0</v>
      </c>
      <c r="X43" s="51">
        <v>0</v>
      </c>
      <c r="Y43" s="51">
        <v>0</v>
      </c>
      <c r="Z43" s="52">
        <f t="shared" si="1"/>
        <v>1500</v>
      </c>
      <c r="AA43" s="38"/>
    </row>
    <row r="44" spans="1:27" ht="15">
      <c r="A44" s="6" t="s">
        <v>198</v>
      </c>
      <c r="B44" s="34" t="s">
        <v>84</v>
      </c>
      <c r="C44" s="34" t="s">
        <v>85</v>
      </c>
      <c r="D44" s="31">
        <v>10000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f t="shared" si="2"/>
        <v>10000</v>
      </c>
      <c r="N44" s="8"/>
      <c r="O44" s="37"/>
      <c r="P44" s="36"/>
      <c r="Q44" s="51">
        <v>10000</v>
      </c>
      <c r="R44" s="51">
        <v>0</v>
      </c>
      <c r="S44" s="51">
        <v>0</v>
      </c>
      <c r="T44" s="51">
        <v>0</v>
      </c>
      <c r="U44" s="78">
        <v>0</v>
      </c>
      <c r="V44" s="51">
        <v>0</v>
      </c>
      <c r="W44" s="51">
        <v>0</v>
      </c>
      <c r="X44" s="51">
        <v>0</v>
      </c>
      <c r="Y44" s="51">
        <v>0</v>
      </c>
      <c r="Z44" s="52">
        <f t="shared" si="1"/>
        <v>10000</v>
      </c>
      <c r="AA44" s="38"/>
    </row>
    <row r="45" spans="1:27" ht="15">
      <c r="A45" s="6" t="s">
        <v>200</v>
      </c>
      <c r="B45" s="34" t="s">
        <v>358</v>
      </c>
      <c r="C45" s="34" t="s">
        <v>4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33700</v>
      </c>
      <c r="K45" s="31">
        <v>0</v>
      </c>
      <c r="L45" s="31">
        <v>0</v>
      </c>
      <c r="M45" s="32">
        <f t="shared" si="2"/>
        <v>33700</v>
      </c>
      <c r="N45" s="8"/>
      <c r="O45" s="37"/>
      <c r="P45" s="36"/>
      <c r="Q45" s="51">
        <v>0</v>
      </c>
      <c r="R45" s="51">
        <v>0</v>
      </c>
      <c r="S45" s="51">
        <v>0</v>
      </c>
      <c r="T45" s="51">
        <v>0</v>
      </c>
      <c r="U45" s="78">
        <v>0</v>
      </c>
      <c r="V45" s="51">
        <v>0</v>
      </c>
      <c r="W45" s="51">
        <v>33700</v>
      </c>
      <c r="X45" s="51">
        <v>0</v>
      </c>
      <c r="Y45" s="51">
        <v>0</v>
      </c>
      <c r="Z45" s="52">
        <f t="shared" si="1"/>
        <v>33700</v>
      </c>
      <c r="AA45" s="38"/>
    </row>
    <row r="46" spans="1:27" ht="15">
      <c r="A46" s="6" t="s">
        <v>333</v>
      </c>
      <c r="B46" s="34" t="s">
        <v>176</v>
      </c>
      <c r="C46" s="34" t="s">
        <v>10</v>
      </c>
      <c r="D46" s="31">
        <v>40000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f t="shared" si="2"/>
        <v>40000</v>
      </c>
      <c r="N46" s="8"/>
      <c r="O46" s="37"/>
      <c r="P46" s="36"/>
      <c r="Q46" s="51">
        <v>40000</v>
      </c>
      <c r="R46" s="51">
        <v>0</v>
      </c>
      <c r="S46" s="51">
        <v>0</v>
      </c>
      <c r="T46" s="51">
        <v>0</v>
      </c>
      <c r="U46" s="78">
        <v>0</v>
      </c>
      <c r="V46" s="51">
        <v>0</v>
      </c>
      <c r="W46" s="51">
        <v>0</v>
      </c>
      <c r="X46" s="51">
        <v>0</v>
      </c>
      <c r="Y46" s="51">
        <v>0</v>
      </c>
      <c r="Z46" s="52">
        <f t="shared" si="1"/>
        <v>40000</v>
      </c>
      <c r="AA46" s="38"/>
    </row>
    <row r="47" spans="1:27" ht="15">
      <c r="A47" s="6" t="s">
        <v>199</v>
      </c>
      <c r="B47" s="34" t="s">
        <v>113</v>
      </c>
      <c r="C47" s="34" t="s">
        <v>10</v>
      </c>
      <c r="D47" s="31">
        <v>16500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2">
        <f t="shared" si="2"/>
        <v>16500</v>
      </c>
      <c r="N47" s="8"/>
      <c r="O47" s="37"/>
      <c r="P47" s="36"/>
      <c r="Q47" s="51">
        <v>16500</v>
      </c>
      <c r="R47" s="51">
        <v>0</v>
      </c>
      <c r="S47" s="51">
        <v>0</v>
      </c>
      <c r="T47" s="51">
        <v>0</v>
      </c>
      <c r="U47" s="78">
        <v>0</v>
      </c>
      <c r="V47" s="51">
        <v>0</v>
      </c>
      <c r="W47" s="51">
        <v>0</v>
      </c>
      <c r="X47" s="51">
        <v>0</v>
      </c>
      <c r="Y47" s="51">
        <v>0</v>
      </c>
      <c r="Z47" s="52">
        <f t="shared" si="1"/>
        <v>16500</v>
      </c>
      <c r="AA47" s="38"/>
    </row>
    <row r="48" spans="1:27" ht="15">
      <c r="A48" s="6" t="s">
        <v>201</v>
      </c>
      <c r="B48" s="34" t="s">
        <v>22</v>
      </c>
      <c r="C48" s="34" t="s">
        <v>10</v>
      </c>
      <c r="D48" s="31">
        <v>10000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2">
        <f t="shared" si="2"/>
        <v>10000</v>
      </c>
      <c r="N48" s="8"/>
      <c r="O48" s="37"/>
      <c r="P48" s="36"/>
      <c r="Q48" s="51">
        <v>10000</v>
      </c>
      <c r="R48" s="51">
        <v>0</v>
      </c>
      <c r="S48" s="51">
        <v>0</v>
      </c>
      <c r="T48" s="51">
        <v>0</v>
      </c>
      <c r="U48" s="78">
        <v>0</v>
      </c>
      <c r="V48" s="51">
        <v>0</v>
      </c>
      <c r="W48" s="51">
        <v>0</v>
      </c>
      <c r="X48" s="51">
        <v>0</v>
      </c>
      <c r="Y48" s="51">
        <v>0</v>
      </c>
      <c r="Z48" s="52">
        <f t="shared" si="1"/>
        <v>10000</v>
      </c>
      <c r="AA48" s="38"/>
    </row>
    <row r="49" spans="1:27" ht="15">
      <c r="A49" s="6" t="s">
        <v>211</v>
      </c>
      <c r="B49" s="34" t="s">
        <v>137</v>
      </c>
      <c r="C49" s="34" t="s">
        <v>47</v>
      </c>
      <c r="D49" s="31">
        <f>5000+5000+15000</f>
        <v>25000</v>
      </c>
      <c r="E49" s="31">
        <v>0</v>
      </c>
      <c r="F49" s="31">
        <v>0</v>
      </c>
      <c r="G49" s="31">
        <v>0</v>
      </c>
      <c r="H49" s="31">
        <v>430.592</v>
      </c>
      <c r="I49" s="31">
        <v>0</v>
      </c>
      <c r="J49" s="31">
        <v>0</v>
      </c>
      <c r="K49" s="31">
        <v>0</v>
      </c>
      <c r="L49" s="31">
        <v>0</v>
      </c>
      <c r="M49" s="32">
        <f t="shared" si="2"/>
        <v>25430.592</v>
      </c>
      <c r="N49" s="8"/>
      <c r="O49" s="37"/>
      <c r="P49" s="36"/>
      <c r="Q49" s="51">
        <v>25000</v>
      </c>
      <c r="R49" s="51">
        <v>0</v>
      </c>
      <c r="S49" s="51">
        <v>0</v>
      </c>
      <c r="T49" s="51">
        <v>0</v>
      </c>
      <c r="U49" s="78">
        <v>431</v>
      </c>
      <c r="V49" s="51">
        <v>0</v>
      </c>
      <c r="W49" s="51">
        <v>0</v>
      </c>
      <c r="X49" s="51">
        <v>0</v>
      </c>
      <c r="Y49" s="51">
        <v>0</v>
      </c>
      <c r="Z49" s="52">
        <f t="shared" si="1"/>
        <v>25431</v>
      </c>
      <c r="AA49" s="38"/>
    </row>
    <row r="50" spans="1:27" ht="15">
      <c r="A50" s="6" t="s">
        <v>214</v>
      </c>
      <c r="B50" s="34" t="s">
        <v>129</v>
      </c>
      <c r="C50" s="34" t="s">
        <v>5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10000</v>
      </c>
      <c r="K50" s="31">
        <v>0</v>
      </c>
      <c r="L50" s="31">
        <v>0</v>
      </c>
      <c r="M50" s="32">
        <f t="shared" si="2"/>
        <v>10000</v>
      </c>
      <c r="N50" s="8"/>
      <c r="O50" s="37"/>
      <c r="P50" s="36"/>
      <c r="Q50" s="51">
        <v>0</v>
      </c>
      <c r="R50" s="51">
        <v>0</v>
      </c>
      <c r="S50" s="51">
        <v>0</v>
      </c>
      <c r="T50" s="51">
        <v>0</v>
      </c>
      <c r="U50" s="78">
        <v>0</v>
      </c>
      <c r="V50" s="51">
        <v>0</v>
      </c>
      <c r="W50" s="51">
        <v>10000</v>
      </c>
      <c r="X50" s="51">
        <v>0</v>
      </c>
      <c r="Y50" s="51">
        <v>0</v>
      </c>
      <c r="Z50" s="52">
        <f t="shared" si="1"/>
        <v>10000</v>
      </c>
      <c r="AA50" s="38"/>
    </row>
    <row r="51" spans="1:27" ht="15">
      <c r="A51" s="6" t="s">
        <v>75</v>
      </c>
      <c r="B51" s="34" t="s">
        <v>66</v>
      </c>
      <c r="C51" s="34" t="s">
        <v>6</v>
      </c>
      <c r="D51" s="31">
        <f>5000+15000</f>
        <v>20000</v>
      </c>
      <c r="E51" s="31">
        <v>0</v>
      </c>
      <c r="F51" s="31">
        <v>0</v>
      </c>
      <c r="G51" s="31">
        <v>0</v>
      </c>
      <c r="H51" s="50">
        <f>269.12+430.592</f>
        <v>699.712</v>
      </c>
      <c r="I51" s="31">
        <v>0</v>
      </c>
      <c r="J51" s="31">
        <v>0</v>
      </c>
      <c r="K51" s="31">
        <v>0</v>
      </c>
      <c r="L51" s="31">
        <v>0</v>
      </c>
      <c r="M51" s="32">
        <f t="shared" si="2"/>
        <v>20699.712</v>
      </c>
      <c r="N51" s="8"/>
      <c r="O51" s="37"/>
      <c r="P51" s="36"/>
      <c r="Q51" s="51">
        <v>20000</v>
      </c>
      <c r="R51" s="51">
        <v>0</v>
      </c>
      <c r="S51" s="51">
        <v>0</v>
      </c>
      <c r="T51" s="51">
        <v>0</v>
      </c>
      <c r="U51" s="78">
        <v>700</v>
      </c>
      <c r="V51" s="51">
        <v>0</v>
      </c>
      <c r="W51" s="51">
        <v>0</v>
      </c>
      <c r="X51" s="51">
        <v>0</v>
      </c>
      <c r="Y51" s="51">
        <v>0</v>
      </c>
      <c r="Z51" s="52">
        <f t="shared" si="1"/>
        <v>20700</v>
      </c>
      <c r="AA51" s="38"/>
    </row>
    <row r="52" spans="1:27" ht="15">
      <c r="A52" s="6" t="s">
        <v>202</v>
      </c>
      <c r="B52" s="34" t="s">
        <v>23</v>
      </c>
      <c r="C52" s="34" t="s">
        <v>3</v>
      </c>
      <c r="D52" s="31">
        <f>3500+1248.045+25000</f>
        <v>29748.045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f t="shared" si="2"/>
        <v>29748.045</v>
      </c>
      <c r="N52" s="8"/>
      <c r="O52" s="37"/>
      <c r="P52" s="36"/>
      <c r="Q52" s="51">
        <v>29748</v>
      </c>
      <c r="R52" s="51">
        <v>0</v>
      </c>
      <c r="S52" s="51">
        <v>0</v>
      </c>
      <c r="T52" s="51">
        <v>0</v>
      </c>
      <c r="U52" s="78">
        <v>0</v>
      </c>
      <c r="V52" s="51">
        <v>0</v>
      </c>
      <c r="W52" s="51">
        <v>0</v>
      </c>
      <c r="X52" s="51">
        <v>0</v>
      </c>
      <c r="Y52" s="51">
        <v>0</v>
      </c>
      <c r="Z52" s="52">
        <f t="shared" si="1"/>
        <v>29748</v>
      </c>
      <c r="AA52" s="38"/>
    </row>
    <row r="53" spans="1:27" ht="15">
      <c r="A53" s="6" t="s">
        <v>315</v>
      </c>
      <c r="B53" s="34" t="s">
        <v>170</v>
      </c>
      <c r="C53" s="34" t="s">
        <v>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f>15000+20000+10000</f>
        <v>45000</v>
      </c>
      <c r="K53" s="31">
        <v>0</v>
      </c>
      <c r="L53" s="31">
        <v>0</v>
      </c>
      <c r="M53" s="32">
        <f t="shared" si="2"/>
        <v>45000</v>
      </c>
      <c r="N53" s="8"/>
      <c r="O53" s="37"/>
      <c r="P53" s="36"/>
      <c r="Q53" s="51">
        <v>0</v>
      </c>
      <c r="R53" s="51">
        <v>0</v>
      </c>
      <c r="S53" s="51">
        <v>0</v>
      </c>
      <c r="T53" s="51">
        <v>0</v>
      </c>
      <c r="U53" s="78">
        <v>0</v>
      </c>
      <c r="V53" s="51">
        <v>0</v>
      </c>
      <c r="W53" s="51">
        <v>45000</v>
      </c>
      <c r="X53" s="51">
        <v>0</v>
      </c>
      <c r="Y53" s="51">
        <v>0</v>
      </c>
      <c r="Z53" s="52">
        <f t="shared" si="1"/>
        <v>45000</v>
      </c>
      <c r="AA53" s="38"/>
    </row>
    <row r="54" spans="1:27" ht="15">
      <c r="A54" s="6" t="s">
        <v>221</v>
      </c>
      <c r="B54" s="34" t="s">
        <v>92</v>
      </c>
      <c r="C54" s="34" t="s">
        <v>4</v>
      </c>
      <c r="D54" s="31">
        <v>1250</v>
      </c>
      <c r="E54" s="31">
        <v>0</v>
      </c>
      <c r="F54" s="31">
        <v>0</v>
      </c>
      <c r="G54" s="31">
        <v>0</v>
      </c>
      <c r="H54" s="31">
        <v>0</v>
      </c>
      <c r="I54" s="31">
        <f>1561+3000</f>
        <v>4561</v>
      </c>
      <c r="J54" s="31">
        <f>15000+10000+20000</f>
        <v>45000</v>
      </c>
      <c r="K54" s="31">
        <v>0</v>
      </c>
      <c r="L54" s="31">
        <v>0</v>
      </c>
      <c r="M54" s="32">
        <f t="shared" si="2"/>
        <v>50811</v>
      </c>
      <c r="N54" s="8"/>
      <c r="O54" s="37"/>
      <c r="P54" s="36"/>
      <c r="Q54" s="51">
        <v>1250</v>
      </c>
      <c r="R54" s="51">
        <v>0</v>
      </c>
      <c r="S54" s="51">
        <v>0</v>
      </c>
      <c r="T54" s="51">
        <v>0</v>
      </c>
      <c r="U54" s="78">
        <v>0</v>
      </c>
      <c r="V54" s="51">
        <v>4561</v>
      </c>
      <c r="W54" s="51">
        <v>45000</v>
      </c>
      <c r="X54" s="51">
        <v>0</v>
      </c>
      <c r="Y54" s="51">
        <v>0</v>
      </c>
      <c r="Z54" s="52">
        <f t="shared" si="1"/>
        <v>50811</v>
      </c>
      <c r="AA54" s="38"/>
    </row>
    <row r="55" spans="2:27" ht="15">
      <c r="B55" s="34" t="s">
        <v>175</v>
      </c>
      <c r="C55" s="34" t="s">
        <v>7</v>
      </c>
      <c r="D55" s="31"/>
      <c r="E55" s="31"/>
      <c r="F55" s="31"/>
      <c r="G55" s="31"/>
      <c r="H55" s="31"/>
      <c r="I55" s="31"/>
      <c r="J55" s="31"/>
      <c r="K55" s="31"/>
      <c r="L55" s="31"/>
      <c r="M55" s="32"/>
      <c r="N55" s="8"/>
      <c r="O55" s="37"/>
      <c r="P55" s="36"/>
      <c r="Q55" s="51">
        <v>0</v>
      </c>
      <c r="R55" s="51">
        <v>0</v>
      </c>
      <c r="S55" s="51">
        <v>0</v>
      </c>
      <c r="T55" s="51">
        <v>0</v>
      </c>
      <c r="U55" s="78">
        <v>0</v>
      </c>
      <c r="V55" s="51">
        <v>0</v>
      </c>
      <c r="W55" s="51">
        <v>0</v>
      </c>
      <c r="X55" s="51">
        <v>542373</v>
      </c>
      <c r="Y55" s="51">
        <v>0</v>
      </c>
      <c r="Z55" s="52">
        <f t="shared" si="1"/>
        <v>542373</v>
      </c>
      <c r="AA55" s="38"/>
    </row>
    <row r="56" spans="1:27" ht="15">
      <c r="A56" s="6" t="s">
        <v>205</v>
      </c>
      <c r="B56" s="34" t="s">
        <v>86</v>
      </c>
      <c r="C56" s="34" t="s">
        <v>10</v>
      </c>
      <c r="D56" s="31">
        <v>14300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2">
        <f t="shared" si="2"/>
        <v>14300</v>
      </c>
      <c r="N56" s="8"/>
      <c r="O56" s="37"/>
      <c r="P56" s="36"/>
      <c r="Q56" s="51">
        <v>14300</v>
      </c>
      <c r="R56" s="51">
        <v>0</v>
      </c>
      <c r="S56" s="51">
        <v>0</v>
      </c>
      <c r="T56" s="51">
        <v>0</v>
      </c>
      <c r="U56" s="78">
        <v>0</v>
      </c>
      <c r="V56" s="51">
        <v>0</v>
      </c>
      <c r="W56" s="51">
        <v>0</v>
      </c>
      <c r="X56" s="51">
        <v>0</v>
      </c>
      <c r="Y56" s="51">
        <v>0</v>
      </c>
      <c r="Z56" s="52">
        <f t="shared" si="1"/>
        <v>14300</v>
      </c>
      <c r="AA56" s="38"/>
    </row>
    <row r="57" spans="1:27" ht="15">
      <c r="A57" s="6" t="s">
        <v>207</v>
      </c>
      <c r="B57" s="34" t="s">
        <v>156</v>
      </c>
      <c r="C57" s="34" t="s">
        <v>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f>30000+21000+51500</f>
        <v>102500</v>
      </c>
      <c r="K57" s="31">
        <v>0</v>
      </c>
      <c r="L57" s="31">
        <v>0</v>
      </c>
      <c r="M57" s="32">
        <f t="shared" si="2"/>
        <v>102500</v>
      </c>
      <c r="N57" s="8"/>
      <c r="O57" s="37"/>
      <c r="P57" s="36"/>
      <c r="Q57" s="51">
        <v>0</v>
      </c>
      <c r="R57" s="51">
        <v>0</v>
      </c>
      <c r="S57" s="51">
        <v>0</v>
      </c>
      <c r="T57" s="51">
        <v>0</v>
      </c>
      <c r="U57" s="78">
        <v>0</v>
      </c>
      <c r="V57" s="51">
        <v>0</v>
      </c>
      <c r="W57" s="51">
        <v>102500</v>
      </c>
      <c r="X57" s="51">
        <v>0</v>
      </c>
      <c r="Y57" s="51">
        <v>0</v>
      </c>
      <c r="Z57" s="52">
        <f t="shared" si="1"/>
        <v>102500</v>
      </c>
      <c r="AA57" s="38"/>
    </row>
    <row r="58" spans="1:27" ht="15">
      <c r="A58" s="6" t="s">
        <v>222</v>
      </c>
      <c r="B58" s="34" t="s">
        <v>24</v>
      </c>
      <c r="C58" s="34" t="s">
        <v>10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123.54</v>
      </c>
      <c r="J58" s="31">
        <v>0</v>
      </c>
      <c r="K58" s="31">
        <v>0</v>
      </c>
      <c r="L58" s="31">
        <v>0</v>
      </c>
      <c r="M58" s="32">
        <f t="shared" si="2"/>
        <v>123.54</v>
      </c>
      <c r="N58" s="8"/>
      <c r="O58" s="37"/>
      <c r="P58" s="36"/>
      <c r="Q58" s="51">
        <v>0</v>
      </c>
      <c r="R58" s="51">
        <v>0</v>
      </c>
      <c r="S58" s="51">
        <v>0</v>
      </c>
      <c r="T58" s="51">
        <v>0</v>
      </c>
      <c r="U58" s="78">
        <v>0</v>
      </c>
      <c r="V58" s="51">
        <v>124</v>
      </c>
      <c r="W58" s="51">
        <v>0</v>
      </c>
      <c r="X58" s="51">
        <v>0</v>
      </c>
      <c r="Y58" s="51">
        <v>0</v>
      </c>
      <c r="Z58" s="52">
        <f t="shared" si="1"/>
        <v>124</v>
      </c>
      <c r="AA58" s="38"/>
    </row>
    <row r="59" spans="1:27" ht="15">
      <c r="A59" s="6" t="s">
        <v>223</v>
      </c>
      <c r="B59" s="34" t="s">
        <v>25</v>
      </c>
      <c r="C59" s="34" t="s">
        <v>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1750</v>
      </c>
      <c r="J59" s="31">
        <v>0</v>
      </c>
      <c r="K59" s="31">
        <v>0</v>
      </c>
      <c r="L59" s="31">
        <v>0</v>
      </c>
      <c r="M59" s="32">
        <f t="shared" si="2"/>
        <v>1750</v>
      </c>
      <c r="N59" s="8"/>
      <c r="O59" s="37"/>
      <c r="P59" s="36"/>
      <c r="Q59" s="51">
        <v>0</v>
      </c>
      <c r="R59" s="51">
        <v>0</v>
      </c>
      <c r="S59" s="51">
        <v>0</v>
      </c>
      <c r="T59" s="51">
        <v>0</v>
      </c>
      <c r="U59" s="78">
        <v>0</v>
      </c>
      <c r="V59" s="51">
        <v>1750</v>
      </c>
      <c r="W59" s="51">
        <v>0</v>
      </c>
      <c r="X59" s="51">
        <v>0</v>
      </c>
      <c r="Y59" s="51">
        <v>0</v>
      </c>
      <c r="Z59" s="52">
        <f t="shared" si="1"/>
        <v>1750</v>
      </c>
      <c r="AA59" s="38"/>
    </row>
    <row r="60" spans="1:27" ht="15">
      <c r="A60" s="6" t="s">
        <v>334</v>
      </c>
      <c r="B60" s="34" t="s">
        <v>364</v>
      </c>
      <c r="C60" s="34" t="s">
        <v>6</v>
      </c>
      <c r="D60" s="31">
        <f>20000+750</f>
        <v>20750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f>20500+29500</f>
        <v>50000</v>
      </c>
      <c r="K60" s="31">
        <v>0</v>
      </c>
      <c r="L60" s="31">
        <v>0</v>
      </c>
      <c r="M60" s="32">
        <f t="shared" si="2"/>
        <v>70750</v>
      </c>
      <c r="N60" s="8"/>
      <c r="O60" s="37"/>
      <c r="P60" s="36"/>
      <c r="Q60" s="51">
        <v>20750</v>
      </c>
      <c r="R60" s="51">
        <v>0</v>
      </c>
      <c r="S60" s="51">
        <v>0</v>
      </c>
      <c r="T60" s="51">
        <v>0</v>
      </c>
      <c r="U60" s="78">
        <v>0</v>
      </c>
      <c r="V60" s="51">
        <v>0</v>
      </c>
      <c r="W60" s="51">
        <v>50000</v>
      </c>
      <c r="X60" s="51">
        <v>0</v>
      </c>
      <c r="Y60" s="51">
        <v>0</v>
      </c>
      <c r="Z60" s="52">
        <f t="shared" si="1"/>
        <v>70750</v>
      </c>
      <c r="AA60" s="38"/>
    </row>
    <row r="61" spans="1:27" ht="15">
      <c r="A61" s="6" t="s">
        <v>225</v>
      </c>
      <c r="B61" s="34" t="s">
        <v>172</v>
      </c>
      <c r="C61" s="34" t="s">
        <v>8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f>12500+12500</f>
        <v>25000</v>
      </c>
      <c r="K61" s="31">
        <v>0</v>
      </c>
      <c r="L61" s="31">
        <v>0</v>
      </c>
      <c r="M61" s="32">
        <f t="shared" si="2"/>
        <v>25000</v>
      </c>
      <c r="N61" s="8"/>
      <c r="O61" s="37"/>
      <c r="P61" s="36"/>
      <c r="Q61" s="51">
        <v>0</v>
      </c>
      <c r="R61" s="51">
        <v>0</v>
      </c>
      <c r="S61" s="51">
        <v>0</v>
      </c>
      <c r="T61" s="51">
        <v>0</v>
      </c>
      <c r="U61" s="78">
        <v>0</v>
      </c>
      <c r="V61" s="51">
        <v>0</v>
      </c>
      <c r="W61" s="51">
        <v>25000</v>
      </c>
      <c r="X61" s="51">
        <v>0</v>
      </c>
      <c r="Y61" s="51">
        <v>0</v>
      </c>
      <c r="Z61" s="52">
        <f t="shared" si="1"/>
        <v>25000</v>
      </c>
      <c r="AA61" s="38"/>
    </row>
    <row r="62" spans="1:27" ht="15">
      <c r="A62" s="6" t="s">
        <v>208</v>
      </c>
      <c r="B62" s="34" t="s">
        <v>117</v>
      </c>
      <c r="C62" s="34" t="s">
        <v>8</v>
      </c>
      <c r="D62" s="31">
        <v>3500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2">
        <f t="shared" si="2"/>
        <v>3500</v>
      </c>
      <c r="N62" s="8"/>
      <c r="O62" s="37"/>
      <c r="P62" s="36"/>
      <c r="Q62" s="51">
        <v>3500</v>
      </c>
      <c r="R62" s="51">
        <v>0</v>
      </c>
      <c r="S62" s="51">
        <v>0</v>
      </c>
      <c r="T62" s="51">
        <v>0</v>
      </c>
      <c r="U62" s="78">
        <v>0</v>
      </c>
      <c r="V62" s="51">
        <v>0</v>
      </c>
      <c r="W62" s="51">
        <v>0</v>
      </c>
      <c r="X62" s="51">
        <v>0</v>
      </c>
      <c r="Y62" s="51">
        <v>0</v>
      </c>
      <c r="Z62" s="52">
        <f t="shared" si="1"/>
        <v>3500</v>
      </c>
      <c r="AA62" s="38"/>
    </row>
    <row r="63" spans="1:27" ht="15">
      <c r="A63" s="6" t="s">
        <v>290</v>
      </c>
      <c r="B63" s="34" t="s">
        <v>357</v>
      </c>
      <c r="C63" s="34" t="s">
        <v>8</v>
      </c>
      <c r="D63" s="31">
        <f>1500+6100</f>
        <v>7600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f>9000+11000</f>
        <v>20000</v>
      </c>
      <c r="K63" s="31">
        <v>0</v>
      </c>
      <c r="L63" s="31">
        <v>0</v>
      </c>
      <c r="M63" s="32">
        <f t="shared" si="2"/>
        <v>27600</v>
      </c>
      <c r="N63" s="8"/>
      <c r="O63" s="37"/>
      <c r="P63" s="36"/>
      <c r="Q63" s="51">
        <v>7600</v>
      </c>
      <c r="R63" s="51">
        <v>0</v>
      </c>
      <c r="S63" s="51">
        <v>0</v>
      </c>
      <c r="T63" s="51">
        <v>0</v>
      </c>
      <c r="U63" s="78">
        <v>0</v>
      </c>
      <c r="V63" s="51">
        <v>0</v>
      </c>
      <c r="W63" s="51">
        <v>20000</v>
      </c>
      <c r="X63" s="51">
        <v>0</v>
      </c>
      <c r="Y63" s="51">
        <v>0</v>
      </c>
      <c r="Z63" s="52">
        <f t="shared" si="1"/>
        <v>27600</v>
      </c>
      <c r="AA63" s="38"/>
    </row>
    <row r="64" spans="1:27" ht="15">
      <c r="A64" s="6" t="s">
        <v>125</v>
      </c>
      <c r="B64" s="34" t="s">
        <v>121</v>
      </c>
      <c r="C64" s="34" t="s">
        <v>54</v>
      </c>
      <c r="D64" s="31">
        <f>1000+1000+500+2000+5500+1500</f>
        <v>11500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f>5000+5000</f>
        <v>10000</v>
      </c>
      <c r="K64" s="31">
        <v>0</v>
      </c>
      <c r="L64" s="31">
        <v>0</v>
      </c>
      <c r="M64" s="32">
        <f t="shared" si="2"/>
        <v>21500</v>
      </c>
      <c r="N64" s="8"/>
      <c r="O64" s="37"/>
      <c r="P64" s="36"/>
      <c r="Q64" s="51">
        <v>11500</v>
      </c>
      <c r="R64" s="51">
        <v>0</v>
      </c>
      <c r="S64" s="51">
        <v>0</v>
      </c>
      <c r="T64" s="51">
        <v>0</v>
      </c>
      <c r="U64" s="78">
        <v>0</v>
      </c>
      <c r="V64" s="51">
        <v>0</v>
      </c>
      <c r="W64" s="51">
        <v>10000</v>
      </c>
      <c r="X64" s="51">
        <v>0</v>
      </c>
      <c r="Y64" s="51">
        <v>0</v>
      </c>
      <c r="Z64" s="52">
        <f t="shared" si="1"/>
        <v>21500</v>
      </c>
      <c r="AA64" s="38"/>
    </row>
    <row r="65" spans="1:27" ht="15">
      <c r="A65" s="6" t="s">
        <v>229</v>
      </c>
      <c r="B65" s="34" t="s">
        <v>168</v>
      </c>
      <c r="C65" s="34" t="s">
        <v>53</v>
      </c>
      <c r="D65" s="31">
        <v>2080.075</v>
      </c>
      <c r="E65" s="31">
        <v>0</v>
      </c>
      <c r="F65" s="31">
        <v>0</v>
      </c>
      <c r="G65" s="31">
        <v>0</v>
      </c>
      <c r="H65" s="31">
        <v>0</v>
      </c>
      <c r="I65" s="31">
        <v>3000</v>
      </c>
      <c r="J65" s="31">
        <v>0</v>
      </c>
      <c r="K65" s="31">
        <v>0</v>
      </c>
      <c r="L65" s="31">
        <v>0</v>
      </c>
      <c r="M65" s="32">
        <f t="shared" si="2"/>
        <v>5080.075</v>
      </c>
      <c r="N65" s="8"/>
      <c r="O65" s="37"/>
      <c r="P65" s="36"/>
      <c r="Q65" s="51">
        <v>2080</v>
      </c>
      <c r="R65" s="51">
        <v>0</v>
      </c>
      <c r="S65" s="51">
        <v>0</v>
      </c>
      <c r="T65" s="51">
        <v>0</v>
      </c>
      <c r="U65" s="78">
        <v>0</v>
      </c>
      <c r="V65" s="51">
        <v>3000</v>
      </c>
      <c r="W65" s="51">
        <v>0</v>
      </c>
      <c r="X65" s="51">
        <v>0</v>
      </c>
      <c r="Y65" s="51">
        <v>0</v>
      </c>
      <c r="Z65" s="52">
        <f t="shared" si="1"/>
        <v>5080</v>
      </c>
      <c r="AA65" s="38"/>
    </row>
    <row r="66" spans="1:27" ht="15">
      <c r="A66" s="6" t="s">
        <v>209</v>
      </c>
      <c r="B66" s="34" t="s">
        <v>105</v>
      </c>
      <c r="C66" s="34" t="s">
        <v>54</v>
      </c>
      <c r="D66" s="31">
        <v>10000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f t="shared" si="2"/>
        <v>10000</v>
      </c>
      <c r="N66" s="8"/>
      <c r="O66" s="37"/>
      <c r="P66" s="36"/>
      <c r="Q66" s="51">
        <v>10000</v>
      </c>
      <c r="R66" s="51">
        <v>0</v>
      </c>
      <c r="S66" s="51">
        <v>0</v>
      </c>
      <c r="T66" s="51">
        <v>0</v>
      </c>
      <c r="U66" s="78">
        <v>0</v>
      </c>
      <c r="V66" s="51">
        <v>0</v>
      </c>
      <c r="W66" s="51">
        <v>0</v>
      </c>
      <c r="X66" s="51">
        <v>0</v>
      </c>
      <c r="Y66" s="51">
        <v>0</v>
      </c>
      <c r="Z66" s="52">
        <f t="shared" si="1"/>
        <v>10000</v>
      </c>
      <c r="AA66" s="38"/>
    </row>
    <row r="67" spans="1:27" ht="15">
      <c r="A67" s="6" t="s">
        <v>231</v>
      </c>
      <c r="B67" s="34" t="s">
        <v>154</v>
      </c>
      <c r="C67" s="34" t="s">
        <v>110</v>
      </c>
      <c r="D67" s="31">
        <f>2000+1500</f>
        <v>3500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f aca="true" t="shared" si="3" ref="M67:M96">SUM(D67:L67)</f>
        <v>3500</v>
      </c>
      <c r="N67" s="8"/>
      <c r="O67" s="37"/>
      <c r="P67" s="36"/>
      <c r="Q67" s="51">
        <v>3500</v>
      </c>
      <c r="R67" s="51">
        <v>0</v>
      </c>
      <c r="S67" s="51">
        <v>0</v>
      </c>
      <c r="T67" s="51">
        <v>0</v>
      </c>
      <c r="U67" s="78">
        <v>0</v>
      </c>
      <c r="V67" s="51">
        <v>0</v>
      </c>
      <c r="W67" s="51">
        <v>0</v>
      </c>
      <c r="X67" s="51">
        <v>0</v>
      </c>
      <c r="Y67" s="51">
        <v>0</v>
      </c>
      <c r="Z67" s="52">
        <f t="shared" si="1"/>
        <v>3500</v>
      </c>
      <c r="AA67" s="38"/>
    </row>
    <row r="68" spans="1:27" ht="15">
      <c r="A68" s="6" t="s">
        <v>224</v>
      </c>
      <c r="B68" s="34" t="s">
        <v>171</v>
      </c>
      <c r="C68" s="34" t="s">
        <v>52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f>25000+25000</f>
        <v>50000</v>
      </c>
      <c r="K68" s="31">
        <v>0</v>
      </c>
      <c r="L68" s="31">
        <v>0</v>
      </c>
      <c r="M68" s="32">
        <f t="shared" si="3"/>
        <v>50000</v>
      </c>
      <c r="N68" s="8"/>
      <c r="O68" s="37"/>
      <c r="P68" s="36"/>
      <c r="Q68" s="51">
        <v>0</v>
      </c>
      <c r="R68" s="51">
        <v>0</v>
      </c>
      <c r="S68" s="51">
        <v>0</v>
      </c>
      <c r="T68" s="51">
        <v>0</v>
      </c>
      <c r="U68" s="78">
        <v>0</v>
      </c>
      <c r="V68" s="51">
        <v>0</v>
      </c>
      <c r="W68" s="51">
        <v>50000</v>
      </c>
      <c r="X68" s="51">
        <v>0</v>
      </c>
      <c r="Y68" s="51">
        <v>0</v>
      </c>
      <c r="Z68" s="52">
        <f t="shared" si="1"/>
        <v>50000</v>
      </c>
      <c r="AA68" s="38"/>
    </row>
    <row r="69" spans="1:27" ht="15">
      <c r="A69" s="6" t="s">
        <v>212</v>
      </c>
      <c r="B69" s="34" t="s">
        <v>26</v>
      </c>
      <c r="C69" s="34" t="s">
        <v>4</v>
      </c>
      <c r="D69" s="31">
        <v>7000</v>
      </c>
      <c r="E69" s="31">
        <v>0</v>
      </c>
      <c r="F69" s="31">
        <v>0</v>
      </c>
      <c r="G69" s="31">
        <v>2306.272</v>
      </c>
      <c r="H69" s="31">
        <v>0</v>
      </c>
      <c r="I69" s="31">
        <v>0</v>
      </c>
      <c r="J69" s="31">
        <f>7500+7500+17000+17000</f>
        <v>49000</v>
      </c>
      <c r="K69" s="31">
        <v>0</v>
      </c>
      <c r="L69" s="31">
        <v>0</v>
      </c>
      <c r="M69" s="32">
        <f t="shared" si="3"/>
        <v>58306.272</v>
      </c>
      <c r="N69" s="8"/>
      <c r="O69" s="37"/>
      <c r="P69" s="36"/>
      <c r="Q69" s="51">
        <v>7000</v>
      </c>
      <c r="R69" s="51">
        <v>0</v>
      </c>
      <c r="S69" s="51">
        <v>0</v>
      </c>
      <c r="T69" s="51">
        <v>2306</v>
      </c>
      <c r="U69" s="78">
        <v>0</v>
      </c>
      <c r="V69" s="51">
        <v>0</v>
      </c>
      <c r="W69" s="51">
        <v>49000</v>
      </c>
      <c r="X69" s="51">
        <v>0</v>
      </c>
      <c r="Y69" s="51">
        <v>0</v>
      </c>
      <c r="Z69" s="52">
        <f t="shared" si="1"/>
        <v>58306</v>
      </c>
      <c r="AA69" s="38"/>
    </row>
    <row r="70" spans="1:27" ht="15">
      <c r="A70" s="6" t="s">
        <v>213</v>
      </c>
      <c r="B70" s="34" t="s">
        <v>177</v>
      </c>
      <c r="C70" s="34" t="s">
        <v>8</v>
      </c>
      <c r="D70" s="31">
        <f>660+30000</f>
        <v>30660</v>
      </c>
      <c r="E70" s="31">
        <v>50000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f t="shared" si="3"/>
        <v>80660</v>
      </c>
      <c r="N70" s="8"/>
      <c r="O70" s="37"/>
      <c r="P70" s="36"/>
      <c r="Q70" s="51">
        <v>30660</v>
      </c>
      <c r="R70" s="51">
        <v>50000</v>
      </c>
      <c r="S70" s="51">
        <v>0</v>
      </c>
      <c r="T70" s="51">
        <v>0</v>
      </c>
      <c r="U70" s="78">
        <v>0</v>
      </c>
      <c r="V70" s="51">
        <v>0</v>
      </c>
      <c r="W70" s="51">
        <v>0</v>
      </c>
      <c r="X70" s="51">
        <v>0</v>
      </c>
      <c r="Y70" s="51">
        <v>0</v>
      </c>
      <c r="Z70" s="52">
        <f t="shared" si="1"/>
        <v>80660</v>
      </c>
      <c r="AA70" s="38"/>
    </row>
    <row r="71" spans="1:27" ht="15">
      <c r="A71" s="6" t="s">
        <v>215</v>
      </c>
      <c r="B71" s="34" t="s">
        <v>16</v>
      </c>
      <c r="C71" s="34" t="s">
        <v>53</v>
      </c>
      <c r="D71" s="31">
        <f>532.794+44000</f>
        <v>44532.794</v>
      </c>
      <c r="E71" s="31">
        <v>0</v>
      </c>
      <c r="F71" s="31">
        <v>801.954</v>
      </c>
      <c r="G71" s="31">
        <v>6424.174999999999</v>
      </c>
      <c r="H71" s="31">
        <v>0</v>
      </c>
      <c r="I71" s="31">
        <v>0</v>
      </c>
      <c r="J71" s="31">
        <f>41000+20000+78000</f>
        <v>139000</v>
      </c>
      <c r="K71" s="31">
        <v>0</v>
      </c>
      <c r="L71" s="31">
        <v>0</v>
      </c>
      <c r="M71" s="32">
        <f t="shared" si="3"/>
        <v>190758.923</v>
      </c>
      <c r="N71" s="8"/>
      <c r="O71" s="37"/>
      <c r="P71" s="36"/>
      <c r="Q71" s="51">
        <v>44533</v>
      </c>
      <c r="R71" s="51">
        <v>0</v>
      </c>
      <c r="S71" s="51">
        <v>802</v>
      </c>
      <c r="T71" s="51">
        <v>6424</v>
      </c>
      <c r="U71" s="78">
        <v>0</v>
      </c>
      <c r="V71" s="51">
        <v>0</v>
      </c>
      <c r="W71" s="51">
        <v>139000</v>
      </c>
      <c r="X71" s="51">
        <v>0</v>
      </c>
      <c r="Y71" s="51">
        <v>0</v>
      </c>
      <c r="Z71" s="52">
        <f t="shared" si="1"/>
        <v>190759</v>
      </c>
      <c r="AA71" s="38"/>
    </row>
    <row r="72" spans="1:27" ht="15">
      <c r="A72" s="6" t="s">
        <v>233</v>
      </c>
      <c r="B72" s="34" t="s">
        <v>138</v>
      </c>
      <c r="C72" s="34" t="s">
        <v>10</v>
      </c>
      <c r="D72" s="31">
        <v>20000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10700</v>
      </c>
      <c r="K72" s="31">
        <v>0</v>
      </c>
      <c r="L72" s="31">
        <v>0</v>
      </c>
      <c r="M72" s="32">
        <f t="shared" si="3"/>
        <v>30700</v>
      </c>
      <c r="N72" s="8"/>
      <c r="O72" s="37"/>
      <c r="P72" s="36"/>
      <c r="Q72" s="51">
        <v>20000</v>
      </c>
      <c r="R72" s="51">
        <v>0</v>
      </c>
      <c r="S72" s="51">
        <v>0</v>
      </c>
      <c r="T72" s="51">
        <v>0</v>
      </c>
      <c r="U72" s="78">
        <v>0</v>
      </c>
      <c r="V72" s="51">
        <v>0</v>
      </c>
      <c r="W72" s="51">
        <v>10700</v>
      </c>
      <c r="X72" s="51">
        <v>0</v>
      </c>
      <c r="Y72" s="51">
        <v>0</v>
      </c>
      <c r="Z72" s="52">
        <f t="shared" si="1"/>
        <v>30700</v>
      </c>
      <c r="AA72" s="38"/>
    </row>
    <row r="73" spans="1:27" ht="15">
      <c r="A73" s="6" t="s">
        <v>256</v>
      </c>
      <c r="B73" s="34" t="s">
        <v>365</v>
      </c>
      <c r="C73" s="34" t="s">
        <v>47</v>
      </c>
      <c r="D73" s="31">
        <f>3800+5000+6000</f>
        <v>14800</v>
      </c>
      <c r="E73" s="31">
        <v>0</v>
      </c>
      <c r="F73" s="31">
        <v>0</v>
      </c>
      <c r="G73" s="31">
        <v>0</v>
      </c>
      <c r="H73" s="31">
        <v>0</v>
      </c>
      <c r="I73" s="31">
        <v>5300</v>
      </c>
      <c r="J73" s="31">
        <v>0</v>
      </c>
      <c r="K73" s="31">
        <v>0</v>
      </c>
      <c r="L73" s="31">
        <v>0</v>
      </c>
      <c r="M73" s="32">
        <f t="shared" si="3"/>
        <v>20100</v>
      </c>
      <c r="N73" s="8"/>
      <c r="O73" s="37"/>
      <c r="P73" s="39"/>
      <c r="Q73" s="51">
        <v>14800</v>
      </c>
      <c r="R73" s="51">
        <v>0</v>
      </c>
      <c r="S73" s="51">
        <v>0</v>
      </c>
      <c r="T73" s="51">
        <v>0</v>
      </c>
      <c r="U73" s="78">
        <v>0</v>
      </c>
      <c r="V73" s="51">
        <v>5300</v>
      </c>
      <c r="W73" s="51">
        <v>0</v>
      </c>
      <c r="X73" s="51">
        <v>0</v>
      </c>
      <c r="Y73" s="51">
        <v>0</v>
      </c>
      <c r="Z73" s="52">
        <f aca="true" t="shared" si="4" ref="Z73:Z136">SUM(Q73:Y73)</f>
        <v>20100</v>
      </c>
      <c r="AA73" s="38"/>
    </row>
    <row r="74" spans="1:27" ht="15">
      <c r="A74" s="6" t="s">
        <v>216</v>
      </c>
      <c r="B74" s="34" t="s">
        <v>139</v>
      </c>
      <c r="C74" s="34" t="s">
        <v>342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10000</v>
      </c>
      <c r="K74" s="31">
        <v>0</v>
      </c>
      <c r="L74" s="31">
        <v>0</v>
      </c>
      <c r="M74" s="32">
        <f t="shared" si="3"/>
        <v>10000</v>
      </c>
      <c r="N74" s="8"/>
      <c r="O74" s="37"/>
      <c r="P74" s="36"/>
      <c r="Q74" s="51">
        <v>0</v>
      </c>
      <c r="R74" s="51">
        <v>0</v>
      </c>
      <c r="S74" s="51">
        <v>0</v>
      </c>
      <c r="T74" s="51">
        <v>0</v>
      </c>
      <c r="U74" s="78">
        <v>0</v>
      </c>
      <c r="V74" s="51">
        <v>0</v>
      </c>
      <c r="W74" s="51">
        <v>10000</v>
      </c>
      <c r="X74" s="51">
        <v>0</v>
      </c>
      <c r="Y74" s="51">
        <v>0</v>
      </c>
      <c r="Z74" s="52">
        <f t="shared" si="4"/>
        <v>10000</v>
      </c>
      <c r="AA74" s="38"/>
    </row>
    <row r="75" spans="1:27" ht="15">
      <c r="A75" s="6" t="s">
        <v>316</v>
      </c>
      <c r="B75" s="34" t="s">
        <v>27</v>
      </c>
      <c r="C75" s="34" t="s">
        <v>8</v>
      </c>
      <c r="D75" s="31">
        <f>59000+2083.333</f>
        <v>61083.333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f t="shared" si="3"/>
        <v>61083.333</v>
      </c>
      <c r="N75" s="8"/>
      <c r="O75" s="37"/>
      <c r="P75" s="36"/>
      <c r="Q75" s="51">
        <v>61083</v>
      </c>
      <c r="R75" s="51">
        <v>0</v>
      </c>
      <c r="S75" s="51">
        <v>0</v>
      </c>
      <c r="T75" s="51">
        <v>0</v>
      </c>
      <c r="U75" s="78">
        <v>0</v>
      </c>
      <c r="V75" s="51">
        <v>0</v>
      </c>
      <c r="W75" s="51">
        <v>0</v>
      </c>
      <c r="X75" s="51">
        <v>0</v>
      </c>
      <c r="Y75" s="51">
        <v>0</v>
      </c>
      <c r="Z75" s="52">
        <f t="shared" si="4"/>
        <v>61083</v>
      </c>
      <c r="AA75" s="38"/>
    </row>
    <row r="76" spans="1:27" ht="15">
      <c r="A76" s="6" t="s">
        <v>217</v>
      </c>
      <c r="B76" s="34" t="s">
        <v>28</v>
      </c>
      <c r="C76" s="34" t="s">
        <v>4</v>
      </c>
      <c r="D76" s="31">
        <v>3000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f t="shared" si="3"/>
        <v>3000</v>
      </c>
      <c r="N76" s="8"/>
      <c r="O76" s="37"/>
      <c r="P76" s="36"/>
      <c r="Q76" s="51">
        <v>3000</v>
      </c>
      <c r="R76" s="51">
        <v>0</v>
      </c>
      <c r="S76" s="51">
        <v>0</v>
      </c>
      <c r="T76" s="51">
        <v>0</v>
      </c>
      <c r="U76" s="78">
        <v>0</v>
      </c>
      <c r="V76" s="51">
        <v>0</v>
      </c>
      <c r="W76" s="51">
        <v>0</v>
      </c>
      <c r="X76" s="51">
        <v>0</v>
      </c>
      <c r="Y76" s="51">
        <v>0</v>
      </c>
      <c r="Z76" s="52">
        <f t="shared" si="4"/>
        <v>3000</v>
      </c>
      <c r="AA76" s="38"/>
    </row>
    <row r="77" spans="1:27" ht="15">
      <c r="A77" s="6" t="s">
        <v>218</v>
      </c>
      <c r="B77" s="34" t="s">
        <v>118</v>
      </c>
      <c r="C77" s="34" t="s">
        <v>4</v>
      </c>
      <c r="D77" s="31">
        <v>15000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f t="shared" si="3"/>
        <v>15000</v>
      </c>
      <c r="N77" s="8"/>
      <c r="O77" s="37"/>
      <c r="P77" s="36"/>
      <c r="Q77" s="51">
        <v>15000</v>
      </c>
      <c r="R77" s="51">
        <v>0</v>
      </c>
      <c r="S77" s="51">
        <v>0</v>
      </c>
      <c r="T77" s="51">
        <v>0</v>
      </c>
      <c r="U77" s="78">
        <v>0</v>
      </c>
      <c r="V77" s="51">
        <v>0</v>
      </c>
      <c r="W77" s="51">
        <v>0</v>
      </c>
      <c r="X77" s="51">
        <v>0</v>
      </c>
      <c r="Y77" s="51">
        <v>0</v>
      </c>
      <c r="Z77" s="52">
        <f t="shared" si="4"/>
        <v>15000</v>
      </c>
      <c r="AA77" s="38"/>
    </row>
    <row r="78" spans="1:27" ht="15">
      <c r="A78" s="6" t="s">
        <v>219</v>
      </c>
      <c r="B78" s="34" t="s">
        <v>29</v>
      </c>
      <c r="C78" s="34" t="s">
        <v>6</v>
      </c>
      <c r="D78" s="31">
        <v>25000</v>
      </c>
      <c r="E78" s="31">
        <v>0</v>
      </c>
      <c r="F78" s="31">
        <v>0</v>
      </c>
      <c r="G78" s="31">
        <v>1317.87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f t="shared" si="3"/>
        <v>26317.87</v>
      </c>
      <c r="N78" s="8"/>
      <c r="O78" s="37"/>
      <c r="P78" s="36"/>
      <c r="Q78" s="51">
        <v>25000</v>
      </c>
      <c r="R78" s="51">
        <v>0</v>
      </c>
      <c r="S78" s="51">
        <v>0</v>
      </c>
      <c r="T78" s="51">
        <v>1318</v>
      </c>
      <c r="U78" s="78">
        <v>0</v>
      </c>
      <c r="V78" s="51">
        <v>0</v>
      </c>
      <c r="W78" s="51">
        <v>0</v>
      </c>
      <c r="X78" s="51">
        <v>0</v>
      </c>
      <c r="Y78" s="51">
        <v>0</v>
      </c>
      <c r="Z78" s="52">
        <f t="shared" si="4"/>
        <v>26318</v>
      </c>
      <c r="AA78" s="38"/>
    </row>
    <row r="79" spans="1:27" ht="15">
      <c r="A79" s="6" t="s">
        <v>220</v>
      </c>
      <c r="B79" s="34" t="s">
        <v>13</v>
      </c>
      <c r="C79" s="34" t="s">
        <v>4</v>
      </c>
      <c r="D79" s="31">
        <f>2000+20000</f>
        <v>22000</v>
      </c>
      <c r="E79" s="31">
        <v>0</v>
      </c>
      <c r="F79" s="31">
        <v>0</v>
      </c>
      <c r="G79" s="31">
        <v>0</v>
      </c>
      <c r="H79" s="31">
        <v>0</v>
      </c>
      <c r="I79" s="31">
        <f>908.1+704.8</f>
        <v>1612.9</v>
      </c>
      <c r="J79" s="31">
        <v>0</v>
      </c>
      <c r="K79" s="31">
        <v>0</v>
      </c>
      <c r="L79" s="31">
        <v>0</v>
      </c>
      <c r="M79" s="32">
        <f t="shared" si="3"/>
        <v>23612.9</v>
      </c>
      <c r="N79" s="8"/>
      <c r="O79" s="37"/>
      <c r="P79" s="36"/>
      <c r="Q79" s="51">
        <v>22000</v>
      </c>
      <c r="R79" s="51">
        <v>0</v>
      </c>
      <c r="S79" s="51">
        <v>0</v>
      </c>
      <c r="T79" s="51">
        <v>0</v>
      </c>
      <c r="U79" s="78">
        <v>0</v>
      </c>
      <c r="V79" s="51">
        <v>1613</v>
      </c>
      <c r="W79" s="51">
        <v>0</v>
      </c>
      <c r="X79" s="51">
        <v>0</v>
      </c>
      <c r="Y79" s="51">
        <v>0</v>
      </c>
      <c r="Z79" s="52">
        <f t="shared" si="4"/>
        <v>23613</v>
      </c>
      <c r="AA79" s="38"/>
    </row>
    <row r="80" spans="1:27" ht="15">
      <c r="A80" s="6" t="s">
        <v>226</v>
      </c>
      <c r="B80" s="34" t="s">
        <v>140</v>
      </c>
      <c r="C80" s="34" t="s">
        <v>6</v>
      </c>
      <c r="D80" s="31">
        <f>15000+7500</f>
        <v>22500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f t="shared" si="3"/>
        <v>22500</v>
      </c>
      <c r="N80" s="8"/>
      <c r="O80" s="37"/>
      <c r="P80" s="36"/>
      <c r="Q80" s="51">
        <v>22500</v>
      </c>
      <c r="R80" s="51">
        <v>0</v>
      </c>
      <c r="S80" s="51">
        <v>0</v>
      </c>
      <c r="T80" s="51">
        <v>0</v>
      </c>
      <c r="U80" s="78">
        <v>0</v>
      </c>
      <c r="V80" s="51">
        <v>0</v>
      </c>
      <c r="W80" s="51">
        <v>0</v>
      </c>
      <c r="X80" s="51">
        <v>0</v>
      </c>
      <c r="Y80" s="51">
        <v>0</v>
      </c>
      <c r="Z80" s="52">
        <f t="shared" si="4"/>
        <v>22500</v>
      </c>
      <c r="AA80" s="38"/>
    </row>
    <row r="81" spans="1:27" ht="15">
      <c r="A81" s="6" t="s">
        <v>235</v>
      </c>
      <c r="B81" s="34" t="s">
        <v>141</v>
      </c>
      <c r="C81" s="34" t="s">
        <v>110</v>
      </c>
      <c r="D81" s="31">
        <v>15000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f t="shared" si="3"/>
        <v>15000</v>
      </c>
      <c r="N81" s="8"/>
      <c r="O81" s="37"/>
      <c r="P81" s="36"/>
      <c r="Q81" s="51">
        <v>15000</v>
      </c>
      <c r="R81" s="51">
        <v>0</v>
      </c>
      <c r="S81" s="51">
        <v>0</v>
      </c>
      <c r="T81" s="51">
        <v>0</v>
      </c>
      <c r="U81" s="78">
        <v>0</v>
      </c>
      <c r="V81" s="51">
        <v>0</v>
      </c>
      <c r="W81" s="51">
        <v>0</v>
      </c>
      <c r="X81" s="51">
        <v>0</v>
      </c>
      <c r="Y81" s="51">
        <v>0</v>
      </c>
      <c r="Z81" s="52">
        <f t="shared" si="4"/>
        <v>15000</v>
      </c>
      <c r="AA81" s="38"/>
    </row>
    <row r="82" spans="1:27" ht="15">
      <c r="A82" s="6" t="s">
        <v>291</v>
      </c>
      <c r="B82" s="34" t="s">
        <v>354</v>
      </c>
      <c r="C82" s="34" t="s">
        <v>7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f>2000+3500</f>
        <v>5500</v>
      </c>
      <c r="J82" s="31">
        <v>34400</v>
      </c>
      <c r="K82" s="31">
        <v>0</v>
      </c>
      <c r="L82" s="31">
        <v>0</v>
      </c>
      <c r="M82" s="32">
        <f t="shared" si="3"/>
        <v>39900</v>
      </c>
      <c r="N82" s="8"/>
      <c r="O82" s="37"/>
      <c r="P82" s="36"/>
      <c r="Q82" s="51">
        <v>0</v>
      </c>
      <c r="R82" s="51">
        <v>0</v>
      </c>
      <c r="S82" s="51">
        <v>0</v>
      </c>
      <c r="T82" s="51">
        <v>0</v>
      </c>
      <c r="U82" s="78">
        <v>0</v>
      </c>
      <c r="V82" s="51">
        <v>5500</v>
      </c>
      <c r="W82" s="51">
        <v>34400</v>
      </c>
      <c r="X82" s="51">
        <v>0</v>
      </c>
      <c r="Y82" s="51">
        <v>0</v>
      </c>
      <c r="Z82" s="52">
        <f t="shared" si="4"/>
        <v>39900</v>
      </c>
      <c r="AA82" s="38"/>
    </row>
    <row r="83" spans="1:27" ht="15">
      <c r="A83" s="6" t="s">
        <v>236</v>
      </c>
      <c r="B83" s="34" t="s">
        <v>71</v>
      </c>
      <c r="C83" s="34" t="s">
        <v>7</v>
      </c>
      <c r="D83" s="31">
        <v>2500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f t="shared" si="3"/>
        <v>2500</v>
      </c>
      <c r="N83" s="8"/>
      <c r="O83" s="37"/>
      <c r="P83" s="36"/>
      <c r="Q83" s="51">
        <v>2500</v>
      </c>
      <c r="R83" s="51">
        <v>0</v>
      </c>
      <c r="S83" s="51">
        <v>0</v>
      </c>
      <c r="T83" s="51">
        <v>0</v>
      </c>
      <c r="U83" s="78">
        <v>0</v>
      </c>
      <c r="V83" s="51">
        <v>0</v>
      </c>
      <c r="W83" s="51">
        <v>0</v>
      </c>
      <c r="X83" s="51">
        <v>0</v>
      </c>
      <c r="Y83" s="51">
        <v>0</v>
      </c>
      <c r="Z83" s="52">
        <f t="shared" si="4"/>
        <v>2500</v>
      </c>
      <c r="AA83" s="38"/>
    </row>
    <row r="84" spans="1:27" ht="15">
      <c r="A84" s="6" t="s">
        <v>237</v>
      </c>
      <c r="B84" s="34" t="s">
        <v>14</v>
      </c>
      <c r="C84" s="34" t="s">
        <v>7</v>
      </c>
      <c r="D84" s="31">
        <f>2000+6000+5300</f>
        <v>13300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15000</v>
      </c>
      <c r="K84" s="31">
        <v>0</v>
      </c>
      <c r="L84" s="31">
        <v>0</v>
      </c>
      <c r="M84" s="32">
        <f t="shared" si="3"/>
        <v>28300</v>
      </c>
      <c r="N84" s="8"/>
      <c r="O84" s="37"/>
      <c r="P84" s="13"/>
      <c r="Q84" s="51">
        <v>13300</v>
      </c>
      <c r="R84" s="51">
        <v>0</v>
      </c>
      <c r="S84" s="51">
        <v>0</v>
      </c>
      <c r="T84" s="51">
        <v>0</v>
      </c>
      <c r="U84" s="78">
        <v>0</v>
      </c>
      <c r="V84" s="51">
        <v>0</v>
      </c>
      <c r="W84" s="51">
        <v>15000</v>
      </c>
      <c r="X84" s="51">
        <v>0</v>
      </c>
      <c r="Y84" s="51">
        <v>0</v>
      </c>
      <c r="Z84" s="52">
        <f t="shared" si="4"/>
        <v>28300</v>
      </c>
      <c r="AA84" s="38"/>
    </row>
    <row r="85" spans="1:27" ht="15">
      <c r="A85" s="6" t="s">
        <v>293</v>
      </c>
      <c r="B85" s="34" t="s">
        <v>317</v>
      </c>
      <c r="C85" s="34" t="s">
        <v>48</v>
      </c>
      <c r="D85" s="31">
        <f>532.794+20000+2436.2+710.392+5520+7500+7500</f>
        <v>44199.386</v>
      </c>
      <c r="E85" s="31">
        <v>0</v>
      </c>
      <c r="F85" s="31">
        <f>92.671+340.344+145.331+721.733</f>
        <v>1300.079</v>
      </c>
      <c r="G85" s="31">
        <v>0</v>
      </c>
      <c r="H85" s="31">
        <v>0</v>
      </c>
      <c r="I85" s="31">
        <v>0</v>
      </c>
      <c r="J85" s="31">
        <f>28000+52000+22500+20000</f>
        <v>122500</v>
      </c>
      <c r="K85" s="31">
        <v>0</v>
      </c>
      <c r="L85" s="31">
        <v>0</v>
      </c>
      <c r="M85" s="32">
        <f t="shared" si="3"/>
        <v>167999.465</v>
      </c>
      <c r="N85" s="8"/>
      <c r="O85" s="37"/>
      <c r="P85" s="36"/>
      <c r="Q85" s="51">
        <v>44199</v>
      </c>
      <c r="R85" s="51">
        <v>0</v>
      </c>
      <c r="S85" s="51">
        <v>1300</v>
      </c>
      <c r="T85" s="51">
        <v>0</v>
      </c>
      <c r="U85" s="78">
        <v>0</v>
      </c>
      <c r="V85" s="51">
        <v>0</v>
      </c>
      <c r="W85" s="51">
        <v>122500</v>
      </c>
      <c r="X85" s="51">
        <v>0</v>
      </c>
      <c r="Y85" s="51">
        <v>0</v>
      </c>
      <c r="Z85" s="52">
        <f t="shared" si="4"/>
        <v>167999</v>
      </c>
      <c r="AA85" s="38"/>
    </row>
    <row r="86" spans="1:27" ht="15">
      <c r="A86" s="6" t="s">
        <v>346</v>
      </c>
      <c r="B86" s="34" t="s">
        <v>41</v>
      </c>
      <c r="C86" s="34" t="s">
        <v>4</v>
      </c>
      <c r="D86" s="31">
        <f>4000+2000+5000</f>
        <v>11000</v>
      </c>
      <c r="E86" s="31">
        <v>0</v>
      </c>
      <c r="F86" s="31">
        <v>80.717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3878.429</v>
      </c>
      <c r="M86" s="32">
        <f t="shared" si="3"/>
        <v>14959.146</v>
      </c>
      <c r="N86" s="8"/>
      <c r="O86" s="37"/>
      <c r="P86" s="36"/>
      <c r="Q86" s="51">
        <v>11000</v>
      </c>
      <c r="R86" s="51">
        <v>0</v>
      </c>
      <c r="S86" s="51">
        <v>81</v>
      </c>
      <c r="T86" s="51">
        <v>0</v>
      </c>
      <c r="U86" s="78">
        <v>0</v>
      </c>
      <c r="V86" s="51">
        <v>0</v>
      </c>
      <c r="W86" s="51">
        <v>0</v>
      </c>
      <c r="X86" s="51">
        <v>0</v>
      </c>
      <c r="Y86" s="51">
        <v>0</v>
      </c>
      <c r="Z86" s="52">
        <f t="shared" si="4"/>
        <v>11081</v>
      </c>
      <c r="AA86" s="38"/>
    </row>
    <row r="87" spans="1:27" ht="15">
      <c r="A87" s="6" t="s">
        <v>368</v>
      </c>
      <c r="B87" s="34" t="s">
        <v>366</v>
      </c>
      <c r="C87" s="34" t="s">
        <v>3</v>
      </c>
      <c r="D87" s="31">
        <v>28000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2">
        <f t="shared" si="3"/>
        <v>28000</v>
      </c>
      <c r="N87" s="8"/>
      <c r="O87" s="37"/>
      <c r="P87" s="36"/>
      <c r="Q87" s="51">
        <v>28000</v>
      </c>
      <c r="R87" s="51">
        <v>0</v>
      </c>
      <c r="S87" s="51">
        <v>0</v>
      </c>
      <c r="T87" s="51">
        <v>0</v>
      </c>
      <c r="U87" s="78">
        <v>0</v>
      </c>
      <c r="V87" s="51">
        <v>5500</v>
      </c>
      <c r="W87" s="51">
        <v>0</v>
      </c>
      <c r="X87" s="51">
        <v>0</v>
      </c>
      <c r="Y87" s="51">
        <v>0</v>
      </c>
      <c r="Z87" s="52">
        <f t="shared" si="4"/>
        <v>33500</v>
      </c>
      <c r="AA87" s="38"/>
    </row>
    <row r="88" spans="1:27" ht="15">
      <c r="A88" s="6" t="s">
        <v>227</v>
      </c>
      <c r="B88" s="34" t="s">
        <v>43</v>
      </c>
      <c r="C88" s="34" t="s">
        <v>7</v>
      </c>
      <c r="D88" s="31">
        <f>500+500+2000+3000+4457.143+5000+5600+12500</f>
        <v>33557.143</v>
      </c>
      <c r="E88" s="31">
        <v>0</v>
      </c>
      <c r="F88" s="31">
        <v>0</v>
      </c>
      <c r="G88" s="31">
        <v>0</v>
      </c>
      <c r="H88" s="31">
        <v>0</v>
      </c>
      <c r="I88" s="31">
        <v>2000</v>
      </c>
      <c r="J88" s="31">
        <v>0</v>
      </c>
      <c r="K88" s="31">
        <v>0</v>
      </c>
      <c r="L88" s="31">
        <v>0</v>
      </c>
      <c r="M88" s="32">
        <f t="shared" si="3"/>
        <v>35557.143</v>
      </c>
      <c r="N88" s="8"/>
      <c r="O88" s="37"/>
      <c r="P88" s="39"/>
      <c r="Q88" s="51">
        <v>33557</v>
      </c>
      <c r="R88" s="51">
        <v>0</v>
      </c>
      <c r="S88" s="51">
        <v>0</v>
      </c>
      <c r="T88" s="51">
        <v>0</v>
      </c>
      <c r="U88" s="78">
        <v>0</v>
      </c>
      <c r="V88" s="51">
        <v>2000</v>
      </c>
      <c r="W88" s="51">
        <v>0</v>
      </c>
      <c r="X88" s="51">
        <v>0</v>
      </c>
      <c r="Y88" s="51">
        <v>0</v>
      </c>
      <c r="Z88" s="52">
        <f t="shared" si="4"/>
        <v>35557</v>
      </c>
      <c r="AA88" s="38"/>
    </row>
    <row r="89" spans="1:27" ht="15">
      <c r="A89" s="6" t="s">
        <v>228</v>
      </c>
      <c r="B89" s="34" t="s">
        <v>87</v>
      </c>
      <c r="C89" s="34" t="s">
        <v>54</v>
      </c>
      <c r="D89" s="31">
        <f>12000+10000</f>
        <v>22000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2">
        <f t="shared" si="3"/>
        <v>22000</v>
      </c>
      <c r="N89" s="8"/>
      <c r="O89" s="37"/>
      <c r="P89" s="39"/>
      <c r="Q89" s="51">
        <v>22000</v>
      </c>
      <c r="R89" s="51">
        <v>0</v>
      </c>
      <c r="S89" s="51">
        <v>0</v>
      </c>
      <c r="T89" s="51">
        <v>0</v>
      </c>
      <c r="U89" s="78">
        <v>0</v>
      </c>
      <c r="V89" s="51">
        <v>0</v>
      </c>
      <c r="W89" s="51">
        <v>0</v>
      </c>
      <c r="X89" s="51">
        <v>0</v>
      </c>
      <c r="Y89" s="51">
        <v>0</v>
      </c>
      <c r="Z89" s="52">
        <f t="shared" si="4"/>
        <v>22000</v>
      </c>
      <c r="AA89" s="38"/>
    </row>
    <row r="90" spans="1:27" ht="15">
      <c r="A90" s="6" t="s">
        <v>166</v>
      </c>
      <c r="B90" s="34" t="s">
        <v>158</v>
      </c>
      <c r="C90" s="34" t="s">
        <v>47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f>15000+25000+25000+10000</f>
        <v>75000</v>
      </c>
      <c r="K90" s="31">
        <v>0</v>
      </c>
      <c r="L90" s="31">
        <v>0</v>
      </c>
      <c r="M90" s="32">
        <f t="shared" si="3"/>
        <v>75000</v>
      </c>
      <c r="N90" s="8"/>
      <c r="O90" s="37"/>
      <c r="P90" s="39"/>
      <c r="Q90" s="51">
        <v>0</v>
      </c>
      <c r="R90" s="51">
        <v>0</v>
      </c>
      <c r="S90" s="51">
        <v>0</v>
      </c>
      <c r="T90" s="51">
        <v>0</v>
      </c>
      <c r="U90" s="78">
        <v>0</v>
      </c>
      <c r="V90" s="51">
        <v>0</v>
      </c>
      <c r="W90" s="51">
        <v>75000</v>
      </c>
      <c r="X90" s="51">
        <v>0</v>
      </c>
      <c r="Y90" s="51">
        <v>0</v>
      </c>
      <c r="Z90" s="52">
        <f t="shared" si="4"/>
        <v>75000</v>
      </c>
      <c r="AA90" s="38"/>
    </row>
    <row r="91" spans="1:27" ht="15">
      <c r="A91" s="6" t="s">
        <v>335</v>
      </c>
      <c r="B91" s="34" t="s">
        <v>67</v>
      </c>
      <c r="C91" s="34" t="s">
        <v>4</v>
      </c>
      <c r="D91" s="31">
        <f>6641.782+532.794+1500+2040+18000+850+624+3000+7400+15000+25000</f>
        <v>80588.576</v>
      </c>
      <c r="E91" s="31">
        <v>0</v>
      </c>
      <c r="F91" s="31">
        <v>185.571</v>
      </c>
      <c r="G91" s="31">
        <v>988.402</v>
      </c>
      <c r="H91" s="31">
        <v>0</v>
      </c>
      <c r="I91" s="31">
        <v>0</v>
      </c>
      <c r="J91" s="31">
        <v>25000</v>
      </c>
      <c r="K91" s="31">
        <v>0</v>
      </c>
      <c r="L91" s="31">
        <v>0</v>
      </c>
      <c r="M91" s="32">
        <f t="shared" si="3"/>
        <v>106762.549</v>
      </c>
      <c r="N91" s="8"/>
      <c r="O91" s="37"/>
      <c r="P91" s="36"/>
      <c r="Q91" s="51">
        <v>80589</v>
      </c>
      <c r="R91" s="51">
        <v>0</v>
      </c>
      <c r="S91" s="51">
        <v>186</v>
      </c>
      <c r="T91" s="51">
        <v>988</v>
      </c>
      <c r="U91" s="78">
        <v>0</v>
      </c>
      <c r="V91" s="51">
        <v>0</v>
      </c>
      <c r="W91" s="51">
        <v>25000</v>
      </c>
      <c r="X91" s="51">
        <v>0</v>
      </c>
      <c r="Y91" s="51">
        <v>0</v>
      </c>
      <c r="Z91" s="52">
        <f t="shared" si="4"/>
        <v>106763</v>
      </c>
      <c r="AA91" s="38"/>
    </row>
    <row r="92" spans="1:27" ht="15">
      <c r="A92" s="6" t="s">
        <v>242</v>
      </c>
      <c r="B92" s="34" t="s">
        <v>30</v>
      </c>
      <c r="C92" s="34" t="s">
        <v>54</v>
      </c>
      <c r="D92" s="31">
        <v>3000</v>
      </c>
      <c r="E92" s="31">
        <v>0</v>
      </c>
      <c r="F92" s="31">
        <v>0</v>
      </c>
      <c r="G92" s="31">
        <v>724.829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2">
        <f t="shared" si="3"/>
        <v>3724.8289999999997</v>
      </c>
      <c r="N92" s="8"/>
      <c r="O92" s="37"/>
      <c r="P92" s="36"/>
      <c r="Q92" s="51">
        <v>3000</v>
      </c>
      <c r="R92" s="51">
        <v>0</v>
      </c>
      <c r="S92" s="51">
        <v>0</v>
      </c>
      <c r="T92" s="51">
        <v>725</v>
      </c>
      <c r="U92" s="78">
        <v>0</v>
      </c>
      <c r="V92" s="51">
        <v>0</v>
      </c>
      <c r="W92" s="51">
        <v>0</v>
      </c>
      <c r="X92" s="51">
        <v>0</v>
      </c>
      <c r="Y92" s="51">
        <v>0</v>
      </c>
      <c r="Z92" s="52">
        <f t="shared" si="4"/>
        <v>3725</v>
      </c>
      <c r="AA92" s="38"/>
    </row>
    <row r="93" spans="1:27" ht="15">
      <c r="A93" s="6" t="s">
        <v>98</v>
      </c>
      <c r="B93" s="34" t="s">
        <v>76</v>
      </c>
      <c r="C93" s="34" t="s">
        <v>52</v>
      </c>
      <c r="D93" s="31">
        <f>2750+15000+2250.434+3570+1806.1+3750.723+7501.453</f>
        <v>36628.71</v>
      </c>
      <c r="E93" s="31">
        <v>0</v>
      </c>
      <c r="F93" s="31">
        <f>88.77+643.133</f>
        <v>731.903</v>
      </c>
      <c r="G93" s="31">
        <v>0</v>
      </c>
      <c r="H93" s="31">
        <v>0</v>
      </c>
      <c r="I93" s="31">
        <v>0</v>
      </c>
      <c r="J93" s="31">
        <f>25000+25000</f>
        <v>50000</v>
      </c>
      <c r="K93" s="31">
        <v>0</v>
      </c>
      <c r="L93" s="31">
        <v>0</v>
      </c>
      <c r="M93" s="32">
        <f t="shared" si="3"/>
        <v>87360.613</v>
      </c>
      <c r="N93" s="8"/>
      <c r="O93" s="37"/>
      <c r="P93" s="36"/>
      <c r="Q93" s="51">
        <v>36629</v>
      </c>
      <c r="R93" s="51">
        <v>0</v>
      </c>
      <c r="S93" s="51">
        <v>732</v>
      </c>
      <c r="T93" s="51">
        <v>0</v>
      </c>
      <c r="U93" s="78">
        <v>0</v>
      </c>
      <c r="V93" s="51">
        <v>0</v>
      </c>
      <c r="W93" s="51">
        <v>50000</v>
      </c>
      <c r="X93" s="51">
        <v>0</v>
      </c>
      <c r="Y93" s="51">
        <v>0</v>
      </c>
      <c r="Z93" s="52">
        <f t="shared" si="4"/>
        <v>87361</v>
      </c>
      <c r="AA93" s="38"/>
    </row>
    <row r="94" spans="1:27" ht="15">
      <c r="A94" s="6" t="s">
        <v>230</v>
      </c>
      <c r="B94" s="34" t="s">
        <v>68</v>
      </c>
      <c r="C94" s="34" t="s">
        <v>8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50000</v>
      </c>
      <c r="K94" s="31">
        <v>0</v>
      </c>
      <c r="L94" s="31">
        <v>0</v>
      </c>
      <c r="M94" s="32">
        <f t="shared" si="3"/>
        <v>50000</v>
      </c>
      <c r="N94" s="8"/>
      <c r="O94" s="37"/>
      <c r="P94" s="36"/>
      <c r="Q94" s="51">
        <v>0</v>
      </c>
      <c r="R94" s="51">
        <v>0</v>
      </c>
      <c r="S94" s="51">
        <v>0</v>
      </c>
      <c r="T94" s="51">
        <v>0</v>
      </c>
      <c r="U94" s="78">
        <v>0</v>
      </c>
      <c r="V94" s="51">
        <v>0</v>
      </c>
      <c r="W94" s="51">
        <v>50000</v>
      </c>
      <c r="X94" s="51">
        <v>0</v>
      </c>
      <c r="Y94" s="51">
        <v>0</v>
      </c>
      <c r="Z94" s="52">
        <f t="shared" si="4"/>
        <v>50000</v>
      </c>
      <c r="AA94" s="38"/>
    </row>
    <row r="95" spans="1:27" ht="15">
      <c r="A95" s="6" t="s">
        <v>249</v>
      </c>
      <c r="B95" s="34" t="s">
        <v>336</v>
      </c>
      <c r="C95" s="34" t="s">
        <v>6</v>
      </c>
      <c r="D95" s="31">
        <f>3000+2000+2000+14133+1103.4+4500+2000+1750+650</f>
        <v>31136.4</v>
      </c>
      <c r="E95" s="31">
        <v>0</v>
      </c>
      <c r="F95" s="31">
        <v>0</v>
      </c>
      <c r="G95" s="31">
        <v>0</v>
      </c>
      <c r="H95" s="31">
        <v>0</v>
      </c>
      <c r="I95" s="31">
        <v>4000</v>
      </c>
      <c r="J95" s="31">
        <v>5000</v>
      </c>
      <c r="K95" s="31">
        <v>0</v>
      </c>
      <c r="L95" s="31">
        <v>0</v>
      </c>
      <c r="M95" s="32">
        <f t="shared" si="3"/>
        <v>40136.4</v>
      </c>
      <c r="N95" s="8"/>
      <c r="O95" s="37"/>
      <c r="P95" s="36"/>
      <c r="Q95" s="51">
        <v>31136</v>
      </c>
      <c r="R95" s="51">
        <v>0</v>
      </c>
      <c r="S95" s="51">
        <v>0</v>
      </c>
      <c r="T95" s="51">
        <v>0</v>
      </c>
      <c r="U95" s="78">
        <v>0</v>
      </c>
      <c r="V95" s="51">
        <v>4000</v>
      </c>
      <c r="W95" s="51">
        <v>5000</v>
      </c>
      <c r="X95" s="51">
        <v>0</v>
      </c>
      <c r="Y95" s="51">
        <v>0</v>
      </c>
      <c r="Z95" s="52">
        <f t="shared" si="4"/>
        <v>40136</v>
      </c>
      <c r="AA95" s="38"/>
    </row>
    <row r="96" spans="1:27" ht="15">
      <c r="A96" s="6" t="s">
        <v>244</v>
      </c>
      <c r="B96" s="34" t="s">
        <v>126</v>
      </c>
      <c r="C96" s="34" t="s">
        <v>8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6000</v>
      </c>
      <c r="K96" s="31">
        <v>0</v>
      </c>
      <c r="L96" s="31">
        <v>0</v>
      </c>
      <c r="M96" s="32">
        <f t="shared" si="3"/>
        <v>6000</v>
      </c>
      <c r="N96" s="8"/>
      <c r="O96" s="37"/>
      <c r="P96" s="36"/>
      <c r="Q96" s="51">
        <v>0</v>
      </c>
      <c r="R96" s="51">
        <v>0</v>
      </c>
      <c r="S96" s="51">
        <v>0</v>
      </c>
      <c r="T96" s="51">
        <v>0</v>
      </c>
      <c r="U96" s="78">
        <v>0</v>
      </c>
      <c r="V96" s="51">
        <v>0</v>
      </c>
      <c r="W96" s="51">
        <v>6000</v>
      </c>
      <c r="X96" s="51">
        <v>0</v>
      </c>
      <c r="Y96" s="51">
        <v>0</v>
      </c>
      <c r="Z96" s="52">
        <f t="shared" si="4"/>
        <v>6000</v>
      </c>
      <c r="AA96" s="38"/>
    </row>
    <row r="97" spans="1:27" ht="15">
      <c r="A97" s="6" t="s">
        <v>77</v>
      </c>
      <c r="B97" s="34" t="s">
        <v>173</v>
      </c>
      <c r="C97" s="34" t="s">
        <v>46</v>
      </c>
      <c r="D97" s="31">
        <f>12891.991+19250+100000</f>
        <v>132141.991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f>30000+45500</f>
        <v>75500</v>
      </c>
      <c r="K97" s="31">
        <v>0</v>
      </c>
      <c r="L97" s="31">
        <v>0</v>
      </c>
      <c r="M97" s="32">
        <f aca="true" t="shared" si="5" ref="M97:M131">SUM(D97:L97)</f>
        <v>207641.991</v>
      </c>
      <c r="N97" s="8"/>
      <c r="O97" s="37"/>
      <c r="P97" s="36"/>
      <c r="Q97" s="51">
        <v>132142</v>
      </c>
      <c r="R97" s="51">
        <v>0</v>
      </c>
      <c r="S97" s="51">
        <v>0</v>
      </c>
      <c r="T97" s="51">
        <v>0</v>
      </c>
      <c r="U97" s="78">
        <v>0</v>
      </c>
      <c r="V97" s="51">
        <v>0</v>
      </c>
      <c r="W97" s="51">
        <v>75500</v>
      </c>
      <c r="X97" s="51">
        <v>0</v>
      </c>
      <c r="Y97" s="51">
        <v>0</v>
      </c>
      <c r="Z97" s="52">
        <f t="shared" si="4"/>
        <v>207642</v>
      </c>
      <c r="AA97" s="38"/>
    </row>
    <row r="98" spans="1:27" ht="15">
      <c r="A98" s="6" t="s">
        <v>243</v>
      </c>
      <c r="B98" s="34" t="s">
        <v>99</v>
      </c>
      <c r="C98" s="34" t="s">
        <v>10</v>
      </c>
      <c r="D98" s="31">
        <f>4000+10000</f>
        <v>14000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6100</v>
      </c>
      <c r="K98" s="31">
        <v>0</v>
      </c>
      <c r="L98" s="31">
        <v>0</v>
      </c>
      <c r="M98" s="32">
        <f t="shared" si="5"/>
        <v>20100</v>
      </c>
      <c r="N98" s="8"/>
      <c r="O98" s="37"/>
      <c r="P98" s="36"/>
      <c r="Q98" s="51">
        <v>14000</v>
      </c>
      <c r="R98" s="51">
        <v>0</v>
      </c>
      <c r="S98" s="51">
        <v>0</v>
      </c>
      <c r="T98" s="51">
        <v>0</v>
      </c>
      <c r="U98" s="78">
        <v>0</v>
      </c>
      <c r="V98" s="51">
        <v>0</v>
      </c>
      <c r="W98" s="51">
        <v>6100</v>
      </c>
      <c r="X98" s="51">
        <v>0</v>
      </c>
      <c r="Y98" s="51">
        <v>0</v>
      </c>
      <c r="Z98" s="52">
        <f t="shared" si="4"/>
        <v>20100</v>
      </c>
      <c r="AA98" s="38"/>
    </row>
    <row r="99" spans="1:27" ht="15">
      <c r="A99" s="6" t="s">
        <v>232</v>
      </c>
      <c r="B99" s="34" t="s">
        <v>42</v>
      </c>
      <c r="C99" s="34" t="s">
        <v>4</v>
      </c>
      <c r="D99" s="31">
        <f>20000+2000</f>
        <v>22000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f t="shared" si="5"/>
        <v>22000</v>
      </c>
      <c r="N99" s="8"/>
      <c r="O99" s="37"/>
      <c r="P99" s="36"/>
      <c r="Q99" s="51">
        <v>22000</v>
      </c>
      <c r="R99" s="51">
        <v>0</v>
      </c>
      <c r="S99" s="51">
        <v>0</v>
      </c>
      <c r="T99" s="51">
        <v>0</v>
      </c>
      <c r="U99" s="78">
        <v>0</v>
      </c>
      <c r="V99" s="51">
        <v>0</v>
      </c>
      <c r="W99" s="51">
        <v>0</v>
      </c>
      <c r="X99" s="51">
        <v>0</v>
      </c>
      <c r="Y99" s="51">
        <v>0</v>
      </c>
      <c r="Z99" s="52">
        <f t="shared" si="4"/>
        <v>22000</v>
      </c>
      <c r="AA99" s="38"/>
    </row>
    <row r="100" spans="1:27" ht="15">
      <c r="A100" s="6" t="s">
        <v>250</v>
      </c>
      <c r="B100" s="34" t="s">
        <v>114</v>
      </c>
      <c r="C100" s="34" t="s">
        <v>54</v>
      </c>
      <c r="D100" s="31">
        <f>5000+21500</f>
        <v>26500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f t="shared" si="5"/>
        <v>26500</v>
      </c>
      <c r="N100" s="8"/>
      <c r="O100" s="37"/>
      <c r="P100" s="36"/>
      <c r="Q100" s="51">
        <v>26500</v>
      </c>
      <c r="R100" s="51">
        <v>0</v>
      </c>
      <c r="S100" s="51">
        <v>0</v>
      </c>
      <c r="T100" s="51">
        <v>0</v>
      </c>
      <c r="U100" s="78">
        <v>0</v>
      </c>
      <c r="V100" s="51">
        <v>0</v>
      </c>
      <c r="W100" s="51">
        <v>0</v>
      </c>
      <c r="X100" s="51">
        <v>0</v>
      </c>
      <c r="Y100" s="51">
        <v>0</v>
      </c>
      <c r="Z100" s="52">
        <f t="shared" si="4"/>
        <v>26500</v>
      </c>
      <c r="AA100" s="38"/>
    </row>
    <row r="101" spans="1:27" ht="15">
      <c r="A101" s="6" t="s">
        <v>347</v>
      </c>
      <c r="B101" s="34" t="s">
        <v>348</v>
      </c>
      <c r="C101" s="34" t="s">
        <v>54</v>
      </c>
      <c r="D101" s="31">
        <v>12000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f t="shared" si="5"/>
        <v>12000</v>
      </c>
      <c r="N101" s="8"/>
      <c r="O101" s="37"/>
      <c r="P101" s="36"/>
      <c r="Q101" s="51">
        <v>12000</v>
      </c>
      <c r="R101" s="51">
        <v>0</v>
      </c>
      <c r="S101" s="51">
        <v>0</v>
      </c>
      <c r="T101" s="51">
        <v>0</v>
      </c>
      <c r="U101" s="78">
        <v>0</v>
      </c>
      <c r="V101" s="51">
        <v>0</v>
      </c>
      <c r="W101" s="51">
        <v>0</v>
      </c>
      <c r="X101" s="51">
        <v>0</v>
      </c>
      <c r="Y101" s="51">
        <v>0</v>
      </c>
      <c r="Z101" s="52">
        <f t="shared" si="4"/>
        <v>12000</v>
      </c>
      <c r="AA101" s="38"/>
    </row>
    <row r="102" spans="1:27" ht="15">
      <c r="A102" s="6" t="s">
        <v>251</v>
      </c>
      <c r="B102" s="34" t="s">
        <v>127</v>
      </c>
      <c r="C102" s="34" t="s">
        <v>9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8000</v>
      </c>
      <c r="K102" s="31">
        <v>0</v>
      </c>
      <c r="L102" s="31">
        <v>0</v>
      </c>
      <c r="M102" s="32">
        <f t="shared" si="5"/>
        <v>8000</v>
      </c>
      <c r="N102" s="8"/>
      <c r="O102" s="37"/>
      <c r="P102" s="36"/>
      <c r="Q102" s="51">
        <v>0</v>
      </c>
      <c r="R102" s="51">
        <v>0</v>
      </c>
      <c r="S102" s="51">
        <v>0</v>
      </c>
      <c r="T102" s="51">
        <v>0</v>
      </c>
      <c r="U102" s="78">
        <v>0</v>
      </c>
      <c r="V102" s="51">
        <v>0</v>
      </c>
      <c r="W102" s="51">
        <v>8000</v>
      </c>
      <c r="X102" s="51">
        <v>0</v>
      </c>
      <c r="Y102" s="51">
        <v>0</v>
      </c>
      <c r="Z102" s="52">
        <f t="shared" si="4"/>
        <v>8000</v>
      </c>
      <c r="AA102" s="38"/>
    </row>
    <row r="103" spans="1:27" ht="15">
      <c r="A103" s="6" t="s">
        <v>245</v>
      </c>
      <c r="B103" s="34" t="s">
        <v>88</v>
      </c>
      <c r="C103" s="34" t="s">
        <v>10</v>
      </c>
      <c r="D103" s="31">
        <v>8000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2">
        <f t="shared" si="5"/>
        <v>8000</v>
      </c>
      <c r="N103" s="8"/>
      <c r="O103" s="37"/>
      <c r="P103" s="36"/>
      <c r="Q103" s="51">
        <v>8000</v>
      </c>
      <c r="R103" s="51">
        <v>0</v>
      </c>
      <c r="S103" s="51">
        <v>0</v>
      </c>
      <c r="T103" s="51">
        <v>0</v>
      </c>
      <c r="U103" s="78">
        <v>0</v>
      </c>
      <c r="V103" s="51">
        <v>0</v>
      </c>
      <c r="W103" s="51">
        <v>0</v>
      </c>
      <c r="X103" s="51">
        <v>0</v>
      </c>
      <c r="Y103" s="51">
        <v>0</v>
      </c>
      <c r="Z103" s="52">
        <f t="shared" si="4"/>
        <v>8000</v>
      </c>
      <c r="AA103" s="38"/>
    </row>
    <row r="104" spans="1:27" ht="15">
      <c r="A104" s="6" t="s">
        <v>252</v>
      </c>
      <c r="B104" s="34" t="s">
        <v>15</v>
      </c>
      <c r="C104" s="34" t="s">
        <v>4</v>
      </c>
      <c r="D104" s="31">
        <v>1000</v>
      </c>
      <c r="E104" s="31">
        <v>0</v>
      </c>
      <c r="F104" s="31">
        <v>0</v>
      </c>
      <c r="G104" s="31">
        <v>0</v>
      </c>
      <c r="H104" s="31">
        <v>0</v>
      </c>
      <c r="I104" s="31">
        <v>1500</v>
      </c>
      <c r="J104" s="31">
        <v>0</v>
      </c>
      <c r="K104" s="31">
        <v>0</v>
      </c>
      <c r="L104" s="31">
        <v>0</v>
      </c>
      <c r="M104" s="32">
        <f t="shared" si="5"/>
        <v>2500</v>
      </c>
      <c r="N104" s="8"/>
      <c r="O104" s="37"/>
      <c r="P104" s="36"/>
      <c r="Q104" s="51">
        <v>1000</v>
      </c>
      <c r="R104" s="51">
        <v>0</v>
      </c>
      <c r="S104" s="51">
        <v>0</v>
      </c>
      <c r="T104" s="51">
        <v>0</v>
      </c>
      <c r="U104" s="78">
        <v>0</v>
      </c>
      <c r="V104" s="51">
        <v>1500</v>
      </c>
      <c r="W104" s="51">
        <v>0</v>
      </c>
      <c r="X104" s="51">
        <v>0</v>
      </c>
      <c r="Y104" s="51">
        <v>0</v>
      </c>
      <c r="Z104" s="52">
        <f t="shared" si="4"/>
        <v>2500</v>
      </c>
      <c r="AA104" s="38"/>
    </row>
    <row r="105" spans="1:27" ht="15">
      <c r="A105" s="6" t="s">
        <v>246</v>
      </c>
      <c r="B105" s="34" t="s">
        <v>31</v>
      </c>
      <c r="C105" s="34" t="s">
        <v>54</v>
      </c>
      <c r="D105" s="31">
        <f>10000+1000+1500</f>
        <v>12500</v>
      </c>
      <c r="E105" s="31">
        <v>0</v>
      </c>
      <c r="F105" s="31">
        <v>32.186</v>
      </c>
      <c r="G105" s="31">
        <v>0</v>
      </c>
      <c r="H105" s="31">
        <v>0</v>
      </c>
      <c r="I105" s="31">
        <v>5000</v>
      </c>
      <c r="J105" s="31">
        <v>0</v>
      </c>
      <c r="K105" s="31">
        <v>0</v>
      </c>
      <c r="L105" s="31">
        <v>0</v>
      </c>
      <c r="M105" s="32">
        <f t="shared" si="5"/>
        <v>17532.186</v>
      </c>
      <c r="N105" s="8"/>
      <c r="O105" s="37"/>
      <c r="P105" s="36"/>
      <c r="Q105" s="51">
        <v>12500</v>
      </c>
      <c r="R105" s="51">
        <v>0</v>
      </c>
      <c r="S105" s="51">
        <v>32</v>
      </c>
      <c r="T105" s="51">
        <v>0</v>
      </c>
      <c r="U105" s="78">
        <v>0</v>
      </c>
      <c r="V105" s="51">
        <v>5000</v>
      </c>
      <c r="W105" s="51">
        <v>0</v>
      </c>
      <c r="X105" s="51">
        <v>0</v>
      </c>
      <c r="Y105" s="51">
        <v>0</v>
      </c>
      <c r="Z105" s="52">
        <f t="shared" si="4"/>
        <v>17532</v>
      </c>
      <c r="AA105" s="38"/>
    </row>
    <row r="106" spans="1:27" ht="15">
      <c r="A106" s="6" t="s">
        <v>318</v>
      </c>
      <c r="B106" s="34" t="s">
        <v>319</v>
      </c>
      <c r="C106" s="34" t="s">
        <v>4</v>
      </c>
      <c r="D106" s="31">
        <f>30000+18000+1500+1000+15000</f>
        <v>65500</v>
      </c>
      <c r="E106" s="31">
        <v>0</v>
      </c>
      <c r="F106" s="31">
        <v>0</v>
      </c>
      <c r="G106" s="31">
        <v>0</v>
      </c>
      <c r="H106" s="31">
        <v>0</v>
      </c>
      <c r="I106" s="31">
        <v>2000</v>
      </c>
      <c r="J106" s="31">
        <v>50000</v>
      </c>
      <c r="K106" s="31">
        <v>0</v>
      </c>
      <c r="L106" s="31">
        <v>0</v>
      </c>
      <c r="M106" s="32">
        <f t="shared" si="5"/>
        <v>117500</v>
      </c>
      <c r="N106" s="8"/>
      <c r="O106" s="37"/>
      <c r="P106" s="36"/>
      <c r="Q106" s="51">
        <v>65500</v>
      </c>
      <c r="R106" s="51">
        <v>0</v>
      </c>
      <c r="S106" s="51">
        <v>0</v>
      </c>
      <c r="T106" s="51">
        <v>0</v>
      </c>
      <c r="U106" s="78">
        <v>0</v>
      </c>
      <c r="V106" s="51">
        <v>2000</v>
      </c>
      <c r="W106" s="51">
        <v>50000</v>
      </c>
      <c r="X106" s="51">
        <v>0</v>
      </c>
      <c r="Y106" s="51">
        <v>0</v>
      </c>
      <c r="Z106" s="52">
        <f t="shared" si="4"/>
        <v>117500</v>
      </c>
      <c r="AA106" s="38"/>
    </row>
    <row r="107" spans="1:27" ht="15">
      <c r="A107" s="6" t="s">
        <v>234</v>
      </c>
      <c r="B107" s="34" t="s">
        <v>44</v>
      </c>
      <c r="C107" s="34" t="s">
        <v>52</v>
      </c>
      <c r="D107" s="31">
        <f>5000+7400</f>
        <v>12400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f>10500+18500</f>
        <v>29000</v>
      </c>
      <c r="K107" s="31">
        <v>0</v>
      </c>
      <c r="L107" s="31">
        <v>0</v>
      </c>
      <c r="M107" s="32">
        <f t="shared" si="5"/>
        <v>41400</v>
      </c>
      <c r="N107" s="8"/>
      <c r="O107" s="37"/>
      <c r="P107" s="36"/>
      <c r="Q107" s="51">
        <v>12400</v>
      </c>
      <c r="R107" s="51">
        <v>0</v>
      </c>
      <c r="S107" s="51">
        <v>0</v>
      </c>
      <c r="T107" s="51">
        <v>0</v>
      </c>
      <c r="U107" s="78">
        <v>0</v>
      </c>
      <c r="V107" s="51">
        <v>0</v>
      </c>
      <c r="W107" s="51">
        <v>29000</v>
      </c>
      <c r="X107" s="51">
        <v>0</v>
      </c>
      <c r="Y107" s="51">
        <v>0</v>
      </c>
      <c r="Z107" s="52">
        <f t="shared" si="4"/>
        <v>41400</v>
      </c>
      <c r="AA107" s="38"/>
    </row>
    <row r="108" spans="1:27" ht="15">
      <c r="A108" s="6" t="s">
        <v>320</v>
      </c>
      <c r="B108" s="34" t="s">
        <v>115</v>
      </c>
      <c r="C108" s="34" t="s">
        <v>4</v>
      </c>
      <c r="D108" s="31">
        <f>10000+5000</f>
        <v>15000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18000</v>
      </c>
      <c r="K108" s="31">
        <v>0</v>
      </c>
      <c r="L108" s="31">
        <v>0</v>
      </c>
      <c r="M108" s="32">
        <f t="shared" si="5"/>
        <v>33000</v>
      </c>
      <c r="N108" s="8"/>
      <c r="O108" s="37"/>
      <c r="P108" s="36"/>
      <c r="Q108" s="51">
        <v>15000</v>
      </c>
      <c r="R108" s="51">
        <v>0</v>
      </c>
      <c r="S108" s="51">
        <v>0</v>
      </c>
      <c r="T108" s="51">
        <v>0</v>
      </c>
      <c r="U108" s="78">
        <v>0</v>
      </c>
      <c r="V108" s="51">
        <v>0</v>
      </c>
      <c r="W108" s="51">
        <v>18000</v>
      </c>
      <c r="X108" s="51">
        <v>0</v>
      </c>
      <c r="Y108" s="51">
        <v>0</v>
      </c>
      <c r="Z108" s="52">
        <f t="shared" si="4"/>
        <v>33000</v>
      </c>
      <c r="AA108" s="38"/>
    </row>
    <row r="109" spans="1:27" ht="15">
      <c r="A109" s="6" t="s">
        <v>349</v>
      </c>
      <c r="B109" s="34" t="s">
        <v>97</v>
      </c>
      <c r="C109" s="34" t="s">
        <v>4</v>
      </c>
      <c r="D109" s="31">
        <f>8000+30000</f>
        <v>38000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f t="shared" si="5"/>
        <v>38000</v>
      </c>
      <c r="N109" s="8"/>
      <c r="O109" s="37"/>
      <c r="P109" s="36"/>
      <c r="Q109" s="51">
        <v>38000</v>
      </c>
      <c r="R109" s="51">
        <v>0</v>
      </c>
      <c r="S109" s="51">
        <v>0</v>
      </c>
      <c r="T109" s="51">
        <v>0</v>
      </c>
      <c r="U109" s="78">
        <v>0</v>
      </c>
      <c r="V109" s="51">
        <v>0</v>
      </c>
      <c r="W109" s="51">
        <v>0</v>
      </c>
      <c r="X109" s="51">
        <v>0</v>
      </c>
      <c r="Y109" s="51">
        <v>0</v>
      </c>
      <c r="Z109" s="52">
        <f t="shared" si="4"/>
        <v>38000</v>
      </c>
      <c r="AA109" s="38"/>
    </row>
    <row r="110" spans="1:27" ht="15">
      <c r="A110" s="6" t="s">
        <v>124</v>
      </c>
      <c r="B110" s="34" t="s">
        <v>123</v>
      </c>
      <c r="C110" s="34" t="s">
        <v>6</v>
      </c>
      <c r="D110" s="31">
        <v>3000</v>
      </c>
      <c r="E110" s="31">
        <v>0</v>
      </c>
      <c r="F110" s="31">
        <v>0</v>
      </c>
      <c r="G110" s="31">
        <v>0</v>
      </c>
      <c r="H110" s="31">
        <v>0</v>
      </c>
      <c r="I110" s="31">
        <v>3250</v>
      </c>
      <c r="J110" s="31">
        <v>0</v>
      </c>
      <c r="K110" s="31">
        <v>0</v>
      </c>
      <c r="L110" s="31">
        <v>0</v>
      </c>
      <c r="M110" s="32">
        <f t="shared" si="5"/>
        <v>6250</v>
      </c>
      <c r="N110" s="8"/>
      <c r="O110" s="37"/>
      <c r="P110" s="36"/>
      <c r="Q110" s="51">
        <v>3000</v>
      </c>
      <c r="R110" s="51">
        <v>0</v>
      </c>
      <c r="S110" s="51">
        <v>0</v>
      </c>
      <c r="T110" s="51">
        <v>0</v>
      </c>
      <c r="U110" s="78">
        <v>0</v>
      </c>
      <c r="V110" s="51">
        <v>3250</v>
      </c>
      <c r="W110" s="51">
        <v>0</v>
      </c>
      <c r="X110" s="51">
        <v>0</v>
      </c>
      <c r="Y110" s="51">
        <v>0</v>
      </c>
      <c r="Z110" s="52">
        <f t="shared" si="4"/>
        <v>6250</v>
      </c>
      <c r="AA110" s="38"/>
    </row>
    <row r="111" spans="1:27" ht="15">
      <c r="A111" s="6" t="s">
        <v>238</v>
      </c>
      <c r="B111" s="34" t="s">
        <v>321</v>
      </c>
      <c r="C111" s="34" t="s">
        <v>6</v>
      </c>
      <c r="D111" s="31">
        <v>7000</v>
      </c>
      <c r="E111" s="31">
        <v>0</v>
      </c>
      <c r="F111" s="31">
        <v>0</v>
      </c>
      <c r="G111" s="31">
        <v>0</v>
      </c>
      <c r="H111" s="31">
        <v>0</v>
      </c>
      <c r="I111" s="31">
        <v>2308.5</v>
      </c>
      <c r="J111" s="31">
        <v>0</v>
      </c>
      <c r="K111" s="31">
        <v>0</v>
      </c>
      <c r="L111" s="31">
        <v>0</v>
      </c>
      <c r="M111" s="32">
        <f t="shared" si="5"/>
        <v>9308.5</v>
      </c>
      <c r="N111" s="8"/>
      <c r="O111" s="37"/>
      <c r="P111" s="36"/>
      <c r="Q111" s="51">
        <v>7000</v>
      </c>
      <c r="R111" s="51">
        <v>0</v>
      </c>
      <c r="S111" s="51">
        <v>0</v>
      </c>
      <c r="T111" s="51">
        <v>0</v>
      </c>
      <c r="U111" s="78">
        <v>0</v>
      </c>
      <c r="V111" s="51">
        <v>2309</v>
      </c>
      <c r="W111" s="51">
        <v>0</v>
      </c>
      <c r="X111" s="51">
        <v>0</v>
      </c>
      <c r="Y111" s="51">
        <v>0</v>
      </c>
      <c r="Z111" s="52">
        <f t="shared" si="4"/>
        <v>9309</v>
      </c>
      <c r="AA111" s="38"/>
    </row>
    <row r="112" spans="1:27" ht="15">
      <c r="A112" s="6" t="s">
        <v>295</v>
      </c>
      <c r="B112" s="34" t="s">
        <v>294</v>
      </c>
      <c r="C112" s="34" t="s">
        <v>4</v>
      </c>
      <c r="D112" s="31">
        <f>20000+10000+10000</f>
        <v>40000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f>25100+25000+50000+50000</f>
        <v>150100</v>
      </c>
      <c r="K112" s="31">
        <v>0</v>
      </c>
      <c r="L112" s="31">
        <v>0</v>
      </c>
      <c r="M112" s="32">
        <f t="shared" si="5"/>
        <v>190100</v>
      </c>
      <c r="N112" s="8"/>
      <c r="O112" s="37"/>
      <c r="P112" s="36"/>
      <c r="Q112" s="51">
        <v>40000</v>
      </c>
      <c r="R112" s="51">
        <v>0</v>
      </c>
      <c r="S112" s="51">
        <v>0</v>
      </c>
      <c r="T112" s="51">
        <v>0</v>
      </c>
      <c r="U112" s="78">
        <v>0</v>
      </c>
      <c r="V112" s="51">
        <v>0</v>
      </c>
      <c r="W112" s="51">
        <v>150100</v>
      </c>
      <c r="X112" s="51">
        <v>0</v>
      </c>
      <c r="Y112" s="51">
        <v>0</v>
      </c>
      <c r="Z112" s="52">
        <f t="shared" si="4"/>
        <v>190100</v>
      </c>
      <c r="AA112" s="38"/>
    </row>
    <row r="113" spans="1:27" ht="15">
      <c r="A113" s="6" t="s">
        <v>239</v>
      </c>
      <c r="B113" s="34" t="s">
        <v>161</v>
      </c>
      <c r="C113" s="34" t="s">
        <v>52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f>25000+25000</f>
        <v>50000</v>
      </c>
      <c r="K113" s="31">
        <v>0</v>
      </c>
      <c r="L113" s="31">
        <v>0</v>
      </c>
      <c r="M113" s="32">
        <f t="shared" si="5"/>
        <v>50000</v>
      </c>
      <c r="N113" s="8"/>
      <c r="O113" s="37"/>
      <c r="P113" s="36"/>
      <c r="Q113" s="51">
        <v>0</v>
      </c>
      <c r="R113" s="51">
        <v>0</v>
      </c>
      <c r="S113" s="51">
        <v>0</v>
      </c>
      <c r="T113" s="51">
        <v>0</v>
      </c>
      <c r="U113" s="78">
        <v>0</v>
      </c>
      <c r="V113" s="51">
        <v>0</v>
      </c>
      <c r="W113" s="51">
        <v>50000</v>
      </c>
      <c r="X113" s="51">
        <v>0</v>
      </c>
      <c r="Y113" s="51">
        <v>0</v>
      </c>
      <c r="Z113" s="52">
        <f t="shared" si="4"/>
        <v>50000</v>
      </c>
      <c r="AA113" s="38"/>
    </row>
    <row r="114" spans="1:27" ht="15">
      <c r="A114" s="6" t="s">
        <v>78</v>
      </c>
      <c r="B114" s="34" t="s">
        <v>89</v>
      </c>
      <c r="C114" s="34" t="s">
        <v>8</v>
      </c>
      <c r="D114" s="31">
        <f>600+5000+4000+20000</f>
        <v>29600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2">
        <f t="shared" si="5"/>
        <v>29600</v>
      </c>
      <c r="N114" s="8"/>
      <c r="O114" s="37"/>
      <c r="P114" s="36"/>
      <c r="Q114" s="51">
        <v>29600</v>
      </c>
      <c r="R114" s="51">
        <v>0</v>
      </c>
      <c r="S114" s="51">
        <v>0</v>
      </c>
      <c r="T114" s="51">
        <v>0</v>
      </c>
      <c r="U114" s="78">
        <v>0</v>
      </c>
      <c r="V114" s="51">
        <v>0</v>
      </c>
      <c r="W114" s="51">
        <v>0</v>
      </c>
      <c r="X114" s="51">
        <v>0</v>
      </c>
      <c r="Y114" s="51">
        <v>0</v>
      </c>
      <c r="Z114" s="52">
        <f t="shared" si="4"/>
        <v>29600</v>
      </c>
      <c r="AA114" s="38"/>
    </row>
    <row r="115" spans="1:27" ht="15">
      <c r="A115" s="6" t="s">
        <v>240</v>
      </c>
      <c r="B115" s="34" t="s">
        <v>142</v>
      </c>
      <c r="C115" s="34" t="s">
        <v>342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10000</v>
      </c>
      <c r="K115" s="31">
        <v>0</v>
      </c>
      <c r="L115" s="31">
        <v>0</v>
      </c>
      <c r="M115" s="32">
        <f t="shared" si="5"/>
        <v>10000</v>
      </c>
      <c r="N115" s="8"/>
      <c r="O115" s="37"/>
      <c r="P115" s="36"/>
      <c r="Q115" s="51">
        <v>0</v>
      </c>
      <c r="R115" s="51">
        <v>0</v>
      </c>
      <c r="S115" s="51">
        <v>0</v>
      </c>
      <c r="T115" s="51">
        <v>0</v>
      </c>
      <c r="U115" s="78">
        <v>0</v>
      </c>
      <c r="V115" s="51">
        <v>0</v>
      </c>
      <c r="W115" s="51">
        <v>10000</v>
      </c>
      <c r="X115" s="51">
        <v>0</v>
      </c>
      <c r="Y115" s="51">
        <v>0</v>
      </c>
      <c r="Z115" s="52">
        <f t="shared" si="4"/>
        <v>10000</v>
      </c>
      <c r="AA115" s="38"/>
    </row>
    <row r="116" spans="1:27" ht="15">
      <c r="A116" s="6" t="s">
        <v>260</v>
      </c>
      <c r="B116" s="34" t="s">
        <v>90</v>
      </c>
      <c r="C116" s="34" t="s">
        <v>8</v>
      </c>
      <c r="D116" s="31">
        <f>10000+50000+5000</f>
        <v>65000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f>32000+33000+25000+35000</f>
        <v>125000</v>
      </c>
      <c r="K116" s="31">
        <v>0</v>
      </c>
      <c r="L116" s="31">
        <v>0</v>
      </c>
      <c r="M116" s="32">
        <f t="shared" si="5"/>
        <v>190000</v>
      </c>
      <c r="N116" s="8"/>
      <c r="O116" s="37"/>
      <c r="P116" s="36"/>
      <c r="Q116" s="51">
        <v>65000</v>
      </c>
      <c r="R116" s="51">
        <v>0</v>
      </c>
      <c r="S116" s="51">
        <v>0</v>
      </c>
      <c r="T116" s="51">
        <v>0</v>
      </c>
      <c r="U116" s="78">
        <v>0</v>
      </c>
      <c r="V116" s="51">
        <v>0</v>
      </c>
      <c r="W116" s="51">
        <v>125000</v>
      </c>
      <c r="X116" s="51">
        <v>0</v>
      </c>
      <c r="Y116" s="51">
        <v>0</v>
      </c>
      <c r="Z116" s="52">
        <f t="shared" si="4"/>
        <v>190000</v>
      </c>
      <c r="AA116" s="38"/>
    </row>
    <row r="117" spans="1:27" ht="15">
      <c r="A117" s="6" t="s">
        <v>296</v>
      </c>
      <c r="B117" s="34" t="s">
        <v>352</v>
      </c>
      <c r="C117" s="34" t="s">
        <v>46</v>
      </c>
      <c r="D117" s="31">
        <f>7000+15300+621.4</f>
        <v>22921.4</v>
      </c>
      <c r="E117" s="31">
        <v>0</v>
      </c>
      <c r="F117" s="31">
        <v>56.569</v>
      </c>
      <c r="G117" s="31">
        <v>0</v>
      </c>
      <c r="H117" s="31">
        <f>1070.539+160.581+139.17</f>
        <v>1370.29</v>
      </c>
      <c r="I117" s="31">
        <v>3000</v>
      </c>
      <c r="J117" s="31">
        <v>0</v>
      </c>
      <c r="K117" s="31">
        <v>0</v>
      </c>
      <c r="L117" s="31">
        <v>0</v>
      </c>
      <c r="M117" s="32">
        <f t="shared" si="5"/>
        <v>27348.259000000002</v>
      </c>
      <c r="N117" s="8"/>
      <c r="O117" s="37"/>
      <c r="P117" s="13"/>
      <c r="Q117" s="51">
        <v>22921</v>
      </c>
      <c r="R117" s="51">
        <v>0</v>
      </c>
      <c r="S117" s="51">
        <v>57</v>
      </c>
      <c r="T117" s="51">
        <v>0</v>
      </c>
      <c r="U117" s="78">
        <v>1370</v>
      </c>
      <c r="V117" s="51">
        <v>3000</v>
      </c>
      <c r="W117" s="51">
        <v>0</v>
      </c>
      <c r="X117" s="51">
        <v>0</v>
      </c>
      <c r="Y117" s="51">
        <v>0</v>
      </c>
      <c r="Z117" s="52">
        <f t="shared" si="4"/>
        <v>27348</v>
      </c>
      <c r="AA117" s="38"/>
    </row>
    <row r="118" spans="1:27" ht="15">
      <c r="A118" s="6" t="s">
        <v>298</v>
      </c>
      <c r="B118" s="34" t="s">
        <v>297</v>
      </c>
      <c r="C118" s="34" t="s">
        <v>4</v>
      </c>
      <c r="D118" s="31">
        <f>20000+4000+30000+50000</f>
        <v>104000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f>50000+50000</f>
        <v>100000</v>
      </c>
      <c r="K118" s="31">
        <v>0</v>
      </c>
      <c r="L118" s="31">
        <v>0</v>
      </c>
      <c r="M118" s="32">
        <f t="shared" si="5"/>
        <v>204000</v>
      </c>
      <c r="N118" s="8"/>
      <c r="O118" s="37"/>
      <c r="P118" s="36"/>
      <c r="Q118" s="51">
        <v>104000</v>
      </c>
      <c r="R118" s="51">
        <v>0</v>
      </c>
      <c r="S118" s="51">
        <v>0</v>
      </c>
      <c r="T118" s="51">
        <v>0</v>
      </c>
      <c r="U118" s="78">
        <v>0</v>
      </c>
      <c r="V118" s="51">
        <v>0</v>
      </c>
      <c r="W118" s="51">
        <v>100000</v>
      </c>
      <c r="X118" s="51">
        <v>0</v>
      </c>
      <c r="Y118" s="51">
        <v>0</v>
      </c>
      <c r="Z118" s="52">
        <f t="shared" si="4"/>
        <v>204000</v>
      </c>
      <c r="AA118" s="38"/>
    </row>
    <row r="119" spans="1:27" ht="15">
      <c r="A119" s="6" t="s">
        <v>261</v>
      </c>
      <c r="B119" s="34" t="s">
        <v>174</v>
      </c>
      <c r="C119" s="34" t="s">
        <v>6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10000</v>
      </c>
      <c r="K119" s="31">
        <v>0</v>
      </c>
      <c r="L119" s="31">
        <v>0</v>
      </c>
      <c r="M119" s="32">
        <f t="shared" si="5"/>
        <v>10000</v>
      </c>
      <c r="N119" s="8"/>
      <c r="O119" s="37"/>
      <c r="P119" s="36"/>
      <c r="Q119" s="51">
        <v>0</v>
      </c>
      <c r="R119" s="51">
        <v>0</v>
      </c>
      <c r="S119" s="51">
        <v>0</v>
      </c>
      <c r="T119" s="51">
        <v>0</v>
      </c>
      <c r="U119" s="78">
        <v>0</v>
      </c>
      <c r="V119" s="51">
        <v>0</v>
      </c>
      <c r="W119" s="51">
        <v>10000</v>
      </c>
      <c r="X119" s="51">
        <v>0</v>
      </c>
      <c r="Y119" s="51">
        <v>0</v>
      </c>
      <c r="Z119" s="52">
        <f t="shared" si="4"/>
        <v>10000</v>
      </c>
      <c r="AA119" s="38"/>
    </row>
    <row r="120" spans="1:27" ht="15">
      <c r="A120" s="6" t="s">
        <v>79</v>
      </c>
      <c r="B120" s="34" t="s">
        <v>178</v>
      </c>
      <c r="C120" s="34" t="s">
        <v>4</v>
      </c>
      <c r="D120" s="31">
        <v>4000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2">
        <f t="shared" si="5"/>
        <v>4000</v>
      </c>
      <c r="N120" s="8"/>
      <c r="O120" s="37"/>
      <c r="P120" s="36"/>
      <c r="Q120" s="51">
        <v>4000</v>
      </c>
      <c r="R120" s="51">
        <v>0</v>
      </c>
      <c r="S120" s="51">
        <v>0</v>
      </c>
      <c r="T120" s="51">
        <v>0</v>
      </c>
      <c r="U120" s="78">
        <v>0</v>
      </c>
      <c r="V120" s="51">
        <v>0</v>
      </c>
      <c r="W120" s="51">
        <v>0</v>
      </c>
      <c r="X120" s="51">
        <v>0</v>
      </c>
      <c r="Y120" s="51">
        <v>0</v>
      </c>
      <c r="Z120" s="52">
        <f t="shared" si="4"/>
        <v>4000</v>
      </c>
      <c r="AA120" s="38"/>
    </row>
    <row r="121" spans="1:27" ht="15">
      <c r="A121" s="6" t="s">
        <v>345</v>
      </c>
      <c r="B121" s="34" t="s">
        <v>344</v>
      </c>
      <c r="C121" s="34" t="s">
        <v>5</v>
      </c>
      <c r="D121" s="31">
        <f>6000+3750+4250</f>
        <v>14000</v>
      </c>
      <c r="E121" s="31">
        <f>70000+110000</f>
        <v>180000</v>
      </c>
      <c r="F121" s="31">
        <v>0</v>
      </c>
      <c r="G121" s="31">
        <v>0</v>
      </c>
      <c r="H121" s="31">
        <v>0</v>
      </c>
      <c r="I121" s="31">
        <v>0</v>
      </c>
      <c r="J121" s="31">
        <f>140000</f>
        <v>140000</v>
      </c>
      <c r="K121" s="31">
        <v>0</v>
      </c>
      <c r="L121" s="31">
        <v>0</v>
      </c>
      <c r="M121" s="32">
        <f t="shared" si="5"/>
        <v>334000</v>
      </c>
      <c r="N121" s="8"/>
      <c r="O121" s="37"/>
      <c r="P121" s="36"/>
      <c r="Q121" s="51">
        <v>14000</v>
      </c>
      <c r="R121" s="51">
        <v>180000</v>
      </c>
      <c r="S121" s="51">
        <v>0</v>
      </c>
      <c r="T121" s="51">
        <v>0</v>
      </c>
      <c r="U121" s="78">
        <v>0</v>
      </c>
      <c r="V121" s="51">
        <v>0</v>
      </c>
      <c r="W121" s="51">
        <v>140000</v>
      </c>
      <c r="X121" s="51">
        <v>0</v>
      </c>
      <c r="Y121" s="51">
        <v>0</v>
      </c>
      <c r="Z121" s="52">
        <f t="shared" si="4"/>
        <v>334000</v>
      </c>
      <c r="AA121" s="38"/>
    </row>
    <row r="122" spans="1:27" ht="15">
      <c r="A122" s="6" t="s">
        <v>241</v>
      </c>
      <c r="B122" s="34" t="s">
        <v>143</v>
      </c>
      <c r="C122" s="34" t="s">
        <v>9</v>
      </c>
      <c r="D122" s="31">
        <v>30000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f t="shared" si="5"/>
        <v>30000</v>
      </c>
      <c r="N122" s="8"/>
      <c r="O122" s="37"/>
      <c r="P122" s="36"/>
      <c r="Q122" s="51">
        <v>30000</v>
      </c>
      <c r="R122" s="51">
        <v>0</v>
      </c>
      <c r="S122" s="51">
        <v>0</v>
      </c>
      <c r="T122" s="51">
        <v>0</v>
      </c>
      <c r="U122" s="78">
        <v>0</v>
      </c>
      <c r="V122" s="51">
        <v>0</v>
      </c>
      <c r="W122" s="51">
        <v>0</v>
      </c>
      <c r="X122" s="51">
        <v>0</v>
      </c>
      <c r="Y122" s="51">
        <v>0</v>
      </c>
      <c r="Z122" s="52">
        <f t="shared" si="4"/>
        <v>30000</v>
      </c>
      <c r="AA122" s="38"/>
    </row>
    <row r="123" spans="1:27" ht="15">
      <c r="A123" s="6" t="s">
        <v>263</v>
      </c>
      <c r="B123" s="34" t="s">
        <v>58</v>
      </c>
      <c r="C123" s="34" t="s">
        <v>9</v>
      </c>
      <c r="D123" s="31">
        <f>5000+6000+5000+5000</f>
        <v>21000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f t="shared" si="5"/>
        <v>21000</v>
      </c>
      <c r="N123" s="8"/>
      <c r="O123" s="37"/>
      <c r="P123" s="36"/>
      <c r="Q123" s="51">
        <v>21000</v>
      </c>
      <c r="R123" s="51">
        <v>0</v>
      </c>
      <c r="S123" s="51">
        <v>0</v>
      </c>
      <c r="T123" s="51">
        <v>0</v>
      </c>
      <c r="U123" s="78">
        <v>0</v>
      </c>
      <c r="V123" s="51">
        <v>0</v>
      </c>
      <c r="W123" s="51">
        <v>0</v>
      </c>
      <c r="X123" s="51">
        <v>0</v>
      </c>
      <c r="Y123" s="51">
        <v>0</v>
      </c>
      <c r="Z123" s="52">
        <f t="shared" si="4"/>
        <v>21000</v>
      </c>
      <c r="AA123" s="38"/>
    </row>
    <row r="124" spans="1:27" ht="15">
      <c r="A124" s="6" t="s">
        <v>322</v>
      </c>
      <c r="B124" s="34" t="s">
        <v>355</v>
      </c>
      <c r="C124" s="34" t="s">
        <v>82</v>
      </c>
      <c r="D124" s="31">
        <f>8000+27000+10000+5000</f>
        <v>50000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f t="shared" si="5"/>
        <v>50000</v>
      </c>
      <c r="N124" s="8"/>
      <c r="O124" s="37"/>
      <c r="P124" s="36"/>
      <c r="Q124" s="51">
        <v>50000</v>
      </c>
      <c r="R124" s="51">
        <v>0</v>
      </c>
      <c r="S124" s="51">
        <v>0</v>
      </c>
      <c r="T124" s="51">
        <v>0</v>
      </c>
      <c r="U124" s="78">
        <v>0</v>
      </c>
      <c r="V124" s="51">
        <v>0</v>
      </c>
      <c r="W124" s="51">
        <v>0</v>
      </c>
      <c r="X124" s="51">
        <v>0</v>
      </c>
      <c r="Y124" s="51">
        <v>0</v>
      </c>
      <c r="Z124" s="52">
        <f t="shared" si="4"/>
        <v>50000</v>
      </c>
      <c r="AA124" s="38"/>
    </row>
    <row r="125" spans="1:27" ht="15">
      <c r="A125" s="6" t="s">
        <v>247</v>
      </c>
      <c r="B125" s="34" t="s">
        <v>337</v>
      </c>
      <c r="C125" s="34" t="s">
        <v>7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5000</v>
      </c>
      <c r="K125" s="31">
        <v>0</v>
      </c>
      <c r="L125" s="31">
        <v>0</v>
      </c>
      <c r="M125" s="32">
        <f t="shared" si="5"/>
        <v>5000</v>
      </c>
      <c r="N125" s="8"/>
      <c r="O125" s="37"/>
      <c r="P125" s="36"/>
      <c r="Q125" s="51">
        <v>0</v>
      </c>
      <c r="R125" s="51">
        <v>0</v>
      </c>
      <c r="S125" s="51">
        <v>0</v>
      </c>
      <c r="T125" s="51">
        <v>0</v>
      </c>
      <c r="U125" s="78">
        <v>0</v>
      </c>
      <c r="V125" s="51">
        <v>0</v>
      </c>
      <c r="W125" s="51">
        <v>5000</v>
      </c>
      <c r="X125" s="51">
        <v>0</v>
      </c>
      <c r="Y125" s="51">
        <v>0</v>
      </c>
      <c r="Z125" s="52">
        <f t="shared" si="4"/>
        <v>5000</v>
      </c>
      <c r="AA125" s="38"/>
    </row>
    <row r="126" spans="1:27" ht="15">
      <c r="A126" s="6" t="s">
        <v>353</v>
      </c>
      <c r="B126" s="34" t="s">
        <v>106</v>
      </c>
      <c r="C126" s="34" t="s">
        <v>6</v>
      </c>
      <c r="D126" s="31">
        <v>3000</v>
      </c>
      <c r="E126" s="31">
        <v>25000</v>
      </c>
      <c r="F126" s="31">
        <v>0</v>
      </c>
      <c r="G126" s="31">
        <v>1913.126</v>
      </c>
      <c r="H126" s="31">
        <v>0</v>
      </c>
      <c r="I126" s="31">
        <v>2000</v>
      </c>
      <c r="J126" s="31">
        <v>0</v>
      </c>
      <c r="K126" s="31">
        <v>0</v>
      </c>
      <c r="L126" s="31">
        <v>0</v>
      </c>
      <c r="M126" s="32">
        <f t="shared" si="5"/>
        <v>31913.126</v>
      </c>
      <c r="N126" s="8"/>
      <c r="O126" s="37"/>
      <c r="P126" s="36"/>
      <c r="Q126" s="51">
        <v>3000</v>
      </c>
      <c r="R126" s="51">
        <v>25000</v>
      </c>
      <c r="S126" s="51">
        <v>0</v>
      </c>
      <c r="T126" s="51">
        <v>1913</v>
      </c>
      <c r="U126" s="78">
        <v>0</v>
      </c>
      <c r="V126" s="51">
        <v>2000</v>
      </c>
      <c r="W126" s="51">
        <v>0</v>
      </c>
      <c r="X126" s="51">
        <v>0</v>
      </c>
      <c r="Y126" s="51">
        <v>0</v>
      </c>
      <c r="Z126" s="52">
        <f t="shared" si="4"/>
        <v>31913</v>
      </c>
      <c r="AA126" s="38"/>
    </row>
    <row r="127" spans="1:27" ht="15">
      <c r="A127" s="6" t="s">
        <v>323</v>
      </c>
      <c r="B127" s="34" t="s">
        <v>367</v>
      </c>
      <c r="C127" s="34" t="s">
        <v>54</v>
      </c>
      <c r="D127" s="31">
        <v>10000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f t="shared" si="5"/>
        <v>10000</v>
      </c>
      <c r="N127" s="8"/>
      <c r="O127" s="37"/>
      <c r="P127" s="36"/>
      <c r="Q127" s="51">
        <v>10000</v>
      </c>
      <c r="R127" s="51">
        <v>0</v>
      </c>
      <c r="S127" s="51">
        <v>0</v>
      </c>
      <c r="T127" s="51">
        <v>0</v>
      </c>
      <c r="U127" s="78">
        <v>0</v>
      </c>
      <c r="V127" s="51">
        <v>0</v>
      </c>
      <c r="W127" s="51">
        <v>0</v>
      </c>
      <c r="X127" s="51">
        <v>0</v>
      </c>
      <c r="Y127" s="51">
        <v>0</v>
      </c>
      <c r="Z127" s="52">
        <f t="shared" si="4"/>
        <v>10000</v>
      </c>
      <c r="AA127" s="38"/>
    </row>
    <row r="128" spans="1:27" ht="15">
      <c r="A128" s="6" t="s">
        <v>248</v>
      </c>
      <c r="B128" s="34" t="s">
        <v>153</v>
      </c>
      <c r="C128" s="34" t="s">
        <v>7</v>
      </c>
      <c r="D128" s="31">
        <v>650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2">
        <f t="shared" si="5"/>
        <v>650</v>
      </c>
      <c r="N128" s="8"/>
      <c r="O128" s="37"/>
      <c r="P128" s="36"/>
      <c r="Q128" s="51">
        <v>650</v>
      </c>
      <c r="R128" s="51">
        <v>0</v>
      </c>
      <c r="S128" s="51">
        <v>0</v>
      </c>
      <c r="T128" s="51">
        <v>0</v>
      </c>
      <c r="U128" s="78">
        <v>0</v>
      </c>
      <c r="V128" s="51">
        <v>0</v>
      </c>
      <c r="W128" s="51">
        <v>0</v>
      </c>
      <c r="X128" s="51">
        <v>0</v>
      </c>
      <c r="Y128" s="51">
        <v>0</v>
      </c>
      <c r="Z128" s="52">
        <f t="shared" si="4"/>
        <v>650</v>
      </c>
      <c r="AA128" s="38"/>
    </row>
    <row r="129" spans="1:27" ht="15">
      <c r="A129" s="6" t="s">
        <v>253</v>
      </c>
      <c r="B129" s="34" t="s">
        <v>100</v>
      </c>
      <c r="C129" s="34" t="s">
        <v>4</v>
      </c>
      <c r="D129" s="31">
        <v>3000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2">
        <f t="shared" si="5"/>
        <v>3000</v>
      </c>
      <c r="N129" s="8"/>
      <c r="O129" s="37"/>
      <c r="P129" s="36"/>
      <c r="Q129" s="51">
        <v>3000</v>
      </c>
      <c r="R129" s="51">
        <v>0</v>
      </c>
      <c r="S129" s="51">
        <v>0</v>
      </c>
      <c r="T129" s="51">
        <v>0</v>
      </c>
      <c r="U129" s="78">
        <v>0</v>
      </c>
      <c r="V129" s="51">
        <v>0</v>
      </c>
      <c r="W129" s="51">
        <v>0</v>
      </c>
      <c r="X129" s="51">
        <v>0</v>
      </c>
      <c r="Y129" s="51">
        <v>0</v>
      </c>
      <c r="Z129" s="52">
        <f t="shared" si="4"/>
        <v>3000</v>
      </c>
      <c r="AA129" s="38"/>
    </row>
    <row r="130" spans="1:27" ht="15">
      <c r="A130" s="6" t="s">
        <v>268</v>
      </c>
      <c r="B130" s="34" t="s">
        <v>32</v>
      </c>
      <c r="C130" s="34" t="s">
        <v>53</v>
      </c>
      <c r="D130" s="31">
        <f>2000+5178.2</f>
        <v>7178.2</v>
      </c>
      <c r="E130" s="31">
        <v>0</v>
      </c>
      <c r="F130" s="31">
        <v>145.33100000000002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2">
        <f t="shared" si="5"/>
        <v>7323.531</v>
      </c>
      <c r="N130" s="8"/>
      <c r="O130" s="37"/>
      <c r="P130" s="36"/>
      <c r="Q130" s="51">
        <v>7178</v>
      </c>
      <c r="R130" s="51">
        <v>0</v>
      </c>
      <c r="S130" s="51">
        <v>145</v>
      </c>
      <c r="T130" s="51">
        <v>0</v>
      </c>
      <c r="U130" s="78">
        <v>0</v>
      </c>
      <c r="V130" s="51">
        <v>0</v>
      </c>
      <c r="W130" s="51">
        <v>0</v>
      </c>
      <c r="X130" s="51">
        <v>0</v>
      </c>
      <c r="Y130" s="51">
        <v>0</v>
      </c>
      <c r="Z130" s="52">
        <f t="shared" si="4"/>
        <v>7323</v>
      </c>
      <c r="AA130" s="38"/>
    </row>
    <row r="131" spans="1:27" ht="15">
      <c r="A131" s="6" t="s">
        <v>269</v>
      </c>
      <c r="B131" s="34" t="s">
        <v>144</v>
      </c>
      <c r="C131" s="34" t="s">
        <v>10</v>
      </c>
      <c r="D131" s="31">
        <f>5000+10000</f>
        <v>15000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2">
        <f t="shared" si="5"/>
        <v>15000</v>
      </c>
      <c r="N131" s="8"/>
      <c r="O131" s="37"/>
      <c r="P131" s="36"/>
      <c r="Q131" s="51">
        <v>15000</v>
      </c>
      <c r="R131" s="51">
        <v>0</v>
      </c>
      <c r="S131" s="51">
        <v>0</v>
      </c>
      <c r="T131" s="51">
        <v>0</v>
      </c>
      <c r="U131" s="78">
        <v>0</v>
      </c>
      <c r="V131" s="51">
        <v>0</v>
      </c>
      <c r="W131" s="51">
        <v>0</v>
      </c>
      <c r="X131" s="51">
        <v>0</v>
      </c>
      <c r="Y131" s="51">
        <v>0</v>
      </c>
      <c r="Z131" s="52">
        <f t="shared" si="4"/>
        <v>15000</v>
      </c>
      <c r="AA131" s="38"/>
    </row>
    <row r="132" spans="1:27" ht="15">
      <c r="A132" s="6" t="s">
        <v>254</v>
      </c>
      <c r="B132" s="34" t="s">
        <v>145</v>
      </c>
      <c r="C132" s="34" t="s">
        <v>9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f>10000+20000+20000</f>
        <v>50000</v>
      </c>
      <c r="K132" s="31">
        <v>0</v>
      </c>
      <c r="L132" s="31">
        <v>0</v>
      </c>
      <c r="M132" s="32">
        <f aca="true" t="shared" si="6" ref="M132:M164">SUM(D132:L132)</f>
        <v>50000</v>
      </c>
      <c r="N132" s="8"/>
      <c r="O132" s="37"/>
      <c r="P132" s="36"/>
      <c r="Q132" s="51">
        <v>0</v>
      </c>
      <c r="R132" s="51">
        <v>0</v>
      </c>
      <c r="S132" s="51">
        <v>0</v>
      </c>
      <c r="T132" s="51">
        <v>0</v>
      </c>
      <c r="U132" s="78">
        <v>0</v>
      </c>
      <c r="V132" s="51">
        <v>0</v>
      </c>
      <c r="W132" s="51">
        <v>50000</v>
      </c>
      <c r="X132" s="51">
        <v>0</v>
      </c>
      <c r="Y132" s="51">
        <v>0</v>
      </c>
      <c r="Z132" s="52">
        <f t="shared" si="4"/>
        <v>50000</v>
      </c>
      <c r="AA132" s="38"/>
    </row>
    <row r="133" spans="1:27" ht="15">
      <c r="A133" s="6" t="s">
        <v>270</v>
      </c>
      <c r="B133" s="34" t="s">
        <v>146</v>
      </c>
      <c r="C133" s="34" t="s">
        <v>4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25000</v>
      </c>
      <c r="K133" s="31">
        <v>0</v>
      </c>
      <c r="L133" s="31">
        <v>0</v>
      </c>
      <c r="M133" s="32">
        <f t="shared" si="6"/>
        <v>25000</v>
      </c>
      <c r="N133" s="8"/>
      <c r="O133" s="37"/>
      <c r="P133" s="36"/>
      <c r="Q133" s="51">
        <v>0</v>
      </c>
      <c r="R133" s="51">
        <v>0</v>
      </c>
      <c r="S133" s="51">
        <v>0</v>
      </c>
      <c r="T133" s="51">
        <v>0</v>
      </c>
      <c r="U133" s="78">
        <v>0</v>
      </c>
      <c r="V133" s="51">
        <v>0</v>
      </c>
      <c r="W133" s="51">
        <v>25000</v>
      </c>
      <c r="X133" s="51">
        <v>0</v>
      </c>
      <c r="Y133" s="51">
        <v>0</v>
      </c>
      <c r="Z133" s="52">
        <f t="shared" si="4"/>
        <v>25000</v>
      </c>
      <c r="AA133" s="38"/>
    </row>
    <row r="134" spans="1:27" ht="15">
      <c r="A134" s="6" t="s">
        <v>162</v>
      </c>
      <c r="B134" s="34" t="s">
        <v>324</v>
      </c>
      <c r="C134" s="34" t="s">
        <v>8</v>
      </c>
      <c r="D134" s="31">
        <v>0</v>
      </c>
      <c r="E134" s="31">
        <v>25000</v>
      </c>
      <c r="F134" s="31">
        <v>0</v>
      </c>
      <c r="G134" s="31">
        <v>0</v>
      </c>
      <c r="H134" s="31">
        <v>0</v>
      </c>
      <c r="I134" s="31">
        <v>0</v>
      </c>
      <c r="J134" s="31">
        <f>15000+25000</f>
        <v>40000</v>
      </c>
      <c r="K134" s="31">
        <v>0</v>
      </c>
      <c r="L134" s="31">
        <v>0</v>
      </c>
      <c r="M134" s="32">
        <f t="shared" si="6"/>
        <v>65000</v>
      </c>
      <c r="N134" s="8"/>
      <c r="O134" s="37"/>
      <c r="P134" s="36"/>
      <c r="Q134" s="51">
        <v>0</v>
      </c>
      <c r="R134" s="51">
        <v>25000</v>
      </c>
      <c r="S134" s="51">
        <v>0</v>
      </c>
      <c r="T134" s="51">
        <v>0</v>
      </c>
      <c r="U134" s="78">
        <v>0</v>
      </c>
      <c r="V134" s="51">
        <v>0</v>
      </c>
      <c r="W134" s="51">
        <v>40000</v>
      </c>
      <c r="X134" s="51">
        <v>0</v>
      </c>
      <c r="Y134" s="51">
        <v>0</v>
      </c>
      <c r="Z134" s="52">
        <f t="shared" si="4"/>
        <v>65000</v>
      </c>
      <c r="AA134" s="38"/>
    </row>
    <row r="135" spans="1:27" ht="15">
      <c r="A135" s="6" t="s">
        <v>255</v>
      </c>
      <c r="B135" s="34" t="s">
        <v>33</v>
      </c>
      <c r="C135" s="34" t="s">
        <v>4</v>
      </c>
      <c r="D135" s="31">
        <f>15000</f>
        <v>15000</v>
      </c>
      <c r="E135" s="31">
        <v>0</v>
      </c>
      <c r="F135" s="31">
        <v>0</v>
      </c>
      <c r="G135" s="31">
        <v>0</v>
      </c>
      <c r="H135" s="31">
        <v>0</v>
      </c>
      <c r="I135" s="31">
        <v>1500</v>
      </c>
      <c r="J135" s="31">
        <v>0</v>
      </c>
      <c r="K135" s="31">
        <v>0</v>
      </c>
      <c r="L135" s="31">
        <v>0</v>
      </c>
      <c r="M135" s="32">
        <f t="shared" si="6"/>
        <v>16500</v>
      </c>
      <c r="N135" s="8"/>
      <c r="O135" s="37"/>
      <c r="P135" s="36"/>
      <c r="Q135" s="51">
        <v>15000</v>
      </c>
      <c r="R135" s="51">
        <v>0</v>
      </c>
      <c r="S135" s="51">
        <v>0</v>
      </c>
      <c r="T135" s="51">
        <v>0</v>
      </c>
      <c r="U135" s="78">
        <v>0</v>
      </c>
      <c r="V135" s="51">
        <v>1500</v>
      </c>
      <c r="W135" s="51">
        <v>0</v>
      </c>
      <c r="X135" s="51">
        <v>0</v>
      </c>
      <c r="Y135" s="51">
        <v>0</v>
      </c>
      <c r="Z135" s="52">
        <f t="shared" si="4"/>
        <v>16500</v>
      </c>
      <c r="AA135" s="38"/>
    </row>
    <row r="136" spans="1:27" ht="15">
      <c r="A136" s="6" t="s">
        <v>325</v>
      </c>
      <c r="B136" s="34" t="s">
        <v>326</v>
      </c>
      <c r="C136" s="34" t="s">
        <v>9</v>
      </c>
      <c r="D136" s="31">
        <v>5000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2">
        <f t="shared" si="6"/>
        <v>5000</v>
      </c>
      <c r="N136" s="8"/>
      <c r="O136" s="37"/>
      <c r="P136" s="36"/>
      <c r="Q136" s="51">
        <v>5000</v>
      </c>
      <c r="R136" s="51">
        <v>0</v>
      </c>
      <c r="S136" s="51">
        <v>0</v>
      </c>
      <c r="T136" s="51">
        <v>0</v>
      </c>
      <c r="U136" s="78">
        <v>0</v>
      </c>
      <c r="V136" s="51">
        <v>0</v>
      </c>
      <c r="W136" s="51">
        <v>0</v>
      </c>
      <c r="X136" s="51">
        <v>0</v>
      </c>
      <c r="Y136" s="51">
        <v>0</v>
      </c>
      <c r="Z136" s="52">
        <f t="shared" si="4"/>
        <v>5000</v>
      </c>
      <c r="AA136" s="38"/>
    </row>
    <row r="137" spans="1:27" ht="15">
      <c r="A137" s="6" t="s">
        <v>271</v>
      </c>
      <c r="B137" s="34" t="s">
        <v>34</v>
      </c>
      <c r="C137" s="34" t="s">
        <v>7</v>
      </c>
      <c r="D137" s="31">
        <f>1500+1222.2</f>
        <v>2722.2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2">
        <f t="shared" si="6"/>
        <v>2722.2</v>
      </c>
      <c r="N137" s="8"/>
      <c r="O137" s="37"/>
      <c r="P137" s="36"/>
      <c r="Q137" s="51">
        <v>2722</v>
      </c>
      <c r="R137" s="51">
        <v>0</v>
      </c>
      <c r="S137" s="51">
        <v>0</v>
      </c>
      <c r="T137" s="51">
        <v>0</v>
      </c>
      <c r="U137" s="78">
        <v>0</v>
      </c>
      <c r="V137" s="51">
        <v>0</v>
      </c>
      <c r="W137" s="51">
        <v>0</v>
      </c>
      <c r="X137" s="51">
        <v>0</v>
      </c>
      <c r="Y137" s="51">
        <v>0</v>
      </c>
      <c r="Z137" s="52">
        <f aca="true" t="shared" si="7" ref="Z137:Z169">SUM(Q137:Y137)</f>
        <v>2722</v>
      </c>
      <c r="AA137" s="38"/>
    </row>
    <row r="138" spans="1:27" ht="15">
      <c r="A138" s="6" t="s">
        <v>275</v>
      </c>
      <c r="B138" s="34" t="s">
        <v>17</v>
      </c>
      <c r="C138" s="34" t="s">
        <v>4</v>
      </c>
      <c r="D138" s="31">
        <f>100000+15000+24000+2439.2</f>
        <v>141439.2</v>
      </c>
      <c r="E138" s="31">
        <v>0</v>
      </c>
      <c r="F138" s="31">
        <v>161.423</v>
      </c>
      <c r="G138" s="31">
        <v>0</v>
      </c>
      <c r="H138" s="31">
        <v>0</v>
      </c>
      <c r="I138" s="31">
        <v>10000</v>
      </c>
      <c r="J138" s="31">
        <v>0</v>
      </c>
      <c r="K138" s="31">
        <v>0</v>
      </c>
      <c r="L138" s="31">
        <v>0</v>
      </c>
      <c r="M138" s="32">
        <f t="shared" si="6"/>
        <v>151600.62300000002</v>
      </c>
      <c r="N138" s="8"/>
      <c r="O138" s="37"/>
      <c r="P138" s="36"/>
      <c r="Q138" s="51">
        <v>141439</v>
      </c>
      <c r="R138" s="51">
        <v>0</v>
      </c>
      <c r="S138" s="51">
        <v>161</v>
      </c>
      <c r="T138" s="51">
        <v>0</v>
      </c>
      <c r="U138" s="78">
        <v>0</v>
      </c>
      <c r="V138" s="51">
        <v>10000</v>
      </c>
      <c r="W138" s="51">
        <v>0</v>
      </c>
      <c r="X138" s="51">
        <v>0</v>
      </c>
      <c r="Y138" s="51">
        <v>0</v>
      </c>
      <c r="Z138" s="52">
        <f t="shared" si="7"/>
        <v>151600</v>
      </c>
      <c r="AA138" s="38"/>
    </row>
    <row r="139" spans="1:27" ht="15">
      <c r="A139" s="6" t="s">
        <v>160</v>
      </c>
      <c r="B139" s="34" t="s">
        <v>338</v>
      </c>
      <c r="C139" s="34" t="s">
        <v>5</v>
      </c>
      <c r="D139" s="31">
        <v>22000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f>33000+67000+28000+27000</f>
        <v>155000</v>
      </c>
      <c r="K139" s="31">
        <v>0</v>
      </c>
      <c r="L139" s="31">
        <v>0</v>
      </c>
      <c r="M139" s="32">
        <f t="shared" si="6"/>
        <v>177000</v>
      </c>
      <c r="N139" s="8"/>
      <c r="O139" s="37"/>
      <c r="P139" s="36"/>
      <c r="Q139" s="51">
        <v>22000</v>
      </c>
      <c r="R139" s="51">
        <v>0</v>
      </c>
      <c r="S139" s="51">
        <v>0</v>
      </c>
      <c r="T139" s="51">
        <v>0</v>
      </c>
      <c r="U139" s="78">
        <v>0</v>
      </c>
      <c r="V139" s="51">
        <v>0</v>
      </c>
      <c r="W139" s="51">
        <v>155000</v>
      </c>
      <c r="X139" s="51">
        <v>0</v>
      </c>
      <c r="Y139" s="51">
        <v>0</v>
      </c>
      <c r="Z139" s="52">
        <f t="shared" si="7"/>
        <v>177000</v>
      </c>
      <c r="AA139" s="38"/>
    </row>
    <row r="140" spans="1:27" ht="15">
      <c r="A140" s="6" t="s">
        <v>280</v>
      </c>
      <c r="B140" s="34" t="s">
        <v>131</v>
      </c>
      <c r="C140" s="34" t="s">
        <v>5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f>15000+25000</f>
        <v>40000</v>
      </c>
      <c r="K140" s="31">
        <v>0</v>
      </c>
      <c r="L140" s="31">
        <v>0</v>
      </c>
      <c r="M140" s="32">
        <f t="shared" si="6"/>
        <v>40000</v>
      </c>
      <c r="N140" s="8"/>
      <c r="O140" s="37"/>
      <c r="P140" s="39"/>
      <c r="Q140" s="51">
        <v>0</v>
      </c>
      <c r="R140" s="51">
        <v>0</v>
      </c>
      <c r="S140" s="51">
        <v>0</v>
      </c>
      <c r="T140" s="51">
        <v>0</v>
      </c>
      <c r="U140" s="78">
        <v>0</v>
      </c>
      <c r="V140" s="51">
        <v>0</v>
      </c>
      <c r="W140" s="51">
        <v>40000</v>
      </c>
      <c r="X140" s="51">
        <v>0</v>
      </c>
      <c r="Y140" s="51">
        <v>0</v>
      </c>
      <c r="Z140" s="52">
        <f t="shared" si="7"/>
        <v>40000</v>
      </c>
      <c r="AA140" s="38"/>
    </row>
    <row r="141" spans="1:27" ht="15">
      <c r="A141" s="6" t="s">
        <v>257</v>
      </c>
      <c r="B141" s="34" t="s">
        <v>130</v>
      </c>
      <c r="C141" s="34" t="s">
        <v>5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f>35000+25000</f>
        <v>60000</v>
      </c>
      <c r="K141" s="31">
        <v>0</v>
      </c>
      <c r="L141" s="31">
        <v>0</v>
      </c>
      <c r="M141" s="32">
        <f t="shared" si="6"/>
        <v>60000</v>
      </c>
      <c r="N141" s="8"/>
      <c r="O141" s="37"/>
      <c r="P141" s="39"/>
      <c r="Q141" s="51">
        <v>0</v>
      </c>
      <c r="R141" s="51">
        <v>0</v>
      </c>
      <c r="S141" s="51">
        <v>0</v>
      </c>
      <c r="T141" s="51">
        <v>0</v>
      </c>
      <c r="U141" s="78">
        <v>0</v>
      </c>
      <c r="V141" s="51">
        <v>0</v>
      </c>
      <c r="W141" s="51">
        <v>60000</v>
      </c>
      <c r="X141" s="51">
        <v>0</v>
      </c>
      <c r="Y141" s="51">
        <v>0</v>
      </c>
      <c r="Z141" s="52">
        <f t="shared" si="7"/>
        <v>60000</v>
      </c>
      <c r="AA141" s="38"/>
    </row>
    <row r="142" spans="1:27" ht="15">
      <c r="A142" s="6" t="s">
        <v>258</v>
      </c>
      <c r="B142" s="34" t="s">
        <v>356</v>
      </c>
      <c r="C142" s="34" t="s">
        <v>9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50000</v>
      </c>
      <c r="K142" s="31">
        <v>0</v>
      </c>
      <c r="L142" s="31">
        <v>0</v>
      </c>
      <c r="M142" s="32">
        <f t="shared" si="6"/>
        <v>50000</v>
      </c>
      <c r="O142" s="37"/>
      <c r="P142" s="36"/>
      <c r="Q142" s="51">
        <v>0</v>
      </c>
      <c r="R142" s="51">
        <v>0</v>
      </c>
      <c r="S142" s="51">
        <v>0</v>
      </c>
      <c r="T142" s="51">
        <v>0</v>
      </c>
      <c r="U142" s="78">
        <v>0</v>
      </c>
      <c r="V142" s="51">
        <v>0</v>
      </c>
      <c r="W142" s="51">
        <v>50000</v>
      </c>
      <c r="X142" s="51">
        <v>0</v>
      </c>
      <c r="Y142" s="51">
        <v>0</v>
      </c>
      <c r="Z142" s="52">
        <f t="shared" si="7"/>
        <v>50000</v>
      </c>
      <c r="AA142" s="38"/>
    </row>
    <row r="143" spans="1:27" ht="15">
      <c r="A143" s="6" t="s">
        <v>259</v>
      </c>
      <c r="B143" s="34" t="s">
        <v>35</v>
      </c>
      <c r="C143" s="34" t="s">
        <v>54</v>
      </c>
      <c r="D143" s="31">
        <f>500+1250+3750</f>
        <v>5500</v>
      </c>
      <c r="E143" s="31">
        <v>0</v>
      </c>
      <c r="F143" s="31">
        <v>0</v>
      </c>
      <c r="G143" s="31">
        <v>0</v>
      </c>
      <c r="H143" s="31">
        <v>0</v>
      </c>
      <c r="I143" s="31">
        <v>1000</v>
      </c>
      <c r="J143" s="31">
        <v>0</v>
      </c>
      <c r="K143" s="31">
        <v>0</v>
      </c>
      <c r="L143" s="31">
        <v>0</v>
      </c>
      <c r="M143" s="32">
        <f t="shared" si="6"/>
        <v>6500</v>
      </c>
      <c r="N143" s="8"/>
      <c r="O143" s="37"/>
      <c r="P143" s="36"/>
      <c r="Q143" s="51">
        <v>5500</v>
      </c>
      <c r="R143" s="51">
        <v>0</v>
      </c>
      <c r="S143" s="51">
        <v>0</v>
      </c>
      <c r="T143" s="51">
        <v>0</v>
      </c>
      <c r="U143" s="78">
        <v>0</v>
      </c>
      <c r="V143" s="51">
        <v>1000</v>
      </c>
      <c r="W143" s="51">
        <v>0</v>
      </c>
      <c r="X143" s="51">
        <v>0</v>
      </c>
      <c r="Y143" s="51">
        <v>0</v>
      </c>
      <c r="Z143" s="52">
        <f t="shared" si="7"/>
        <v>6500</v>
      </c>
      <c r="AA143" s="38"/>
    </row>
    <row r="144" spans="1:27" ht="15">
      <c r="A144" s="6" t="s">
        <v>182</v>
      </c>
      <c r="B144" s="34" t="s">
        <v>363</v>
      </c>
      <c r="C144" s="34" t="s">
        <v>3</v>
      </c>
      <c r="D144" s="31">
        <f>1500+500+2200</f>
        <v>4200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2">
        <f t="shared" si="6"/>
        <v>4200</v>
      </c>
      <c r="N144" s="8"/>
      <c r="O144" s="37"/>
      <c r="P144" s="36"/>
      <c r="Q144" s="51">
        <v>4200</v>
      </c>
      <c r="R144" s="51">
        <v>0</v>
      </c>
      <c r="S144" s="51">
        <v>0</v>
      </c>
      <c r="T144" s="51">
        <v>0</v>
      </c>
      <c r="U144" s="78">
        <v>0</v>
      </c>
      <c r="V144" s="51">
        <v>0</v>
      </c>
      <c r="W144" s="51">
        <v>0</v>
      </c>
      <c r="X144" s="51">
        <v>0</v>
      </c>
      <c r="Y144" s="51">
        <v>0</v>
      </c>
      <c r="Z144" s="52">
        <f t="shared" si="7"/>
        <v>4200</v>
      </c>
      <c r="AA144" s="38"/>
    </row>
    <row r="145" spans="1:27" ht="15">
      <c r="A145" s="6" t="s">
        <v>299</v>
      </c>
      <c r="B145" s="34" t="s">
        <v>116</v>
      </c>
      <c r="C145" s="34" t="s">
        <v>5</v>
      </c>
      <c r="D145" s="31">
        <f>10000+2217.4321+25000</f>
        <v>37217.4321</v>
      </c>
      <c r="E145" s="31">
        <v>0</v>
      </c>
      <c r="F145" s="31">
        <v>56.569</v>
      </c>
      <c r="G145" s="31">
        <v>0</v>
      </c>
      <c r="H145" s="31">
        <v>0</v>
      </c>
      <c r="I145" s="31">
        <v>0</v>
      </c>
      <c r="J145" s="31">
        <f>20000+35000</f>
        <v>55000</v>
      </c>
      <c r="K145" s="31">
        <v>0</v>
      </c>
      <c r="L145" s="31">
        <v>0</v>
      </c>
      <c r="M145" s="32">
        <f>SUM(D145:L145)</f>
        <v>92274.0011</v>
      </c>
      <c r="N145" s="8"/>
      <c r="O145" s="37"/>
      <c r="P145" s="36"/>
      <c r="Q145" s="51">
        <v>37217</v>
      </c>
      <c r="R145" s="51">
        <v>0</v>
      </c>
      <c r="S145" s="51">
        <v>57</v>
      </c>
      <c r="T145" s="51">
        <v>0</v>
      </c>
      <c r="U145" s="78">
        <v>0</v>
      </c>
      <c r="V145" s="51">
        <v>0</v>
      </c>
      <c r="W145" s="51">
        <v>55000</v>
      </c>
      <c r="X145" s="51">
        <v>0</v>
      </c>
      <c r="Y145" s="51">
        <v>0</v>
      </c>
      <c r="Z145" s="52">
        <f t="shared" si="7"/>
        <v>92274</v>
      </c>
      <c r="AA145" s="38"/>
    </row>
    <row r="146" spans="1:27" ht="15">
      <c r="A146" s="6" t="s">
        <v>300</v>
      </c>
      <c r="B146" s="34" t="s">
        <v>147</v>
      </c>
      <c r="C146" s="34" t="s">
        <v>9</v>
      </c>
      <c r="D146" s="31">
        <v>12000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66100</v>
      </c>
      <c r="K146" s="31">
        <v>0</v>
      </c>
      <c r="L146" s="31">
        <v>0</v>
      </c>
      <c r="M146" s="32">
        <f>SUM(D146:L146)</f>
        <v>78100</v>
      </c>
      <c r="N146" s="8"/>
      <c r="O146" s="37"/>
      <c r="P146" s="39"/>
      <c r="Q146" s="51">
        <v>12000</v>
      </c>
      <c r="R146" s="51">
        <v>0</v>
      </c>
      <c r="S146" s="51">
        <v>0</v>
      </c>
      <c r="T146" s="51">
        <v>0</v>
      </c>
      <c r="U146" s="78">
        <v>0</v>
      </c>
      <c r="V146" s="51">
        <v>0</v>
      </c>
      <c r="W146" s="51">
        <v>66100</v>
      </c>
      <c r="X146" s="51">
        <v>0</v>
      </c>
      <c r="Y146" s="51">
        <v>0</v>
      </c>
      <c r="Z146" s="52">
        <f t="shared" si="7"/>
        <v>78100</v>
      </c>
      <c r="AA146" s="38"/>
    </row>
    <row r="147" spans="1:27" ht="15">
      <c r="A147" s="6" t="s">
        <v>262</v>
      </c>
      <c r="B147" s="34" t="s">
        <v>101</v>
      </c>
      <c r="C147" s="34" t="s">
        <v>10</v>
      </c>
      <c r="D147" s="31">
        <v>5000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2">
        <f t="shared" si="6"/>
        <v>5000</v>
      </c>
      <c r="N147" s="8"/>
      <c r="O147" s="37"/>
      <c r="P147" s="36"/>
      <c r="Q147" s="51">
        <v>5000</v>
      </c>
      <c r="R147" s="51">
        <v>0</v>
      </c>
      <c r="S147" s="51">
        <v>0</v>
      </c>
      <c r="T147" s="51">
        <v>0</v>
      </c>
      <c r="U147" s="78">
        <v>0</v>
      </c>
      <c r="V147" s="51">
        <v>0</v>
      </c>
      <c r="W147" s="51">
        <v>0</v>
      </c>
      <c r="X147" s="51">
        <v>0</v>
      </c>
      <c r="Y147" s="51">
        <v>0</v>
      </c>
      <c r="Z147" s="52">
        <f t="shared" si="7"/>
        <v>5000</v>
      </c>
      <c r="AA147" s="38"/>
    </row>
    <row r="148" spans="1:27" ht="15">
      <c r="A148" s="6" t="s">
        <v>292</v>
      </c>
      <c r="B148" s="34" t="s">
        <v>327</v>
      </c>
      <c r="C148" s="34" t="s">
        <v>6</v>
      </c>
      <c r="D148" s="31">
        <v>38000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2">
        <f t="shared" si="6"/>
        <v>38000</v>
      </c>
      <c r="N148" s="8"/>
      <c r="O148" s="37"/>
      <c r="P148" s="36"/>
      <c r="Q148" s="51">
        <v>38000</v>
      </c>
      <c r="R148" s="51">
        <v>0</v>
      </c>
      <c r="S148" s="51">
        <v>0</v>
      </c>
      <c r="T148" s="51">
        <v>0</v>
      </c>
      <c r="U148" s="78">
        <v>0</v>
      </c>
      <c r="V148" s="51">
        <v>0</v>
      </c>
      <c r="W148" s="51">
        <v>0</v>
      </c>
      <c r="X148" s="51">
        <v>0</v>
      </c>
      <c r="Y148" s="51">
        <v>0</v>
      </c>
      <c r="Z148" s="52">
        <f t="shared" si="7"/>
        <v>38000</v>
      </c>
      <c r="AA148" s="38"/>
    </row>
    <row r="149" spans="1:27" ht="15">
      <c r="A149" s="6" t="s">
        <v>301</v>
      </c>
      <c r="B149" s="34" t="s">
        <v>339</v>
      </c>
      <c r="C149" s="34" t="s">
        <v>47</v>
      </c>
      <c r="D149" s="31">
        <v>24000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2">
        <f t="shared" si="6"/>
        <v>24000</v>
      </c>
      <c r="N149" s="8"/>
      <c r="O149" s="37"/>
      <c r="P149" s="36"/>
      <c r="Q149" s="51">
        <v>24000</v>
      </c>
      <c r="R149" s="51">
        <v>0</v>
      </c>
      <c r="S149" s="51">
        <v>0</v>
      </c>
      <c r="T149" s="51">
        <v>0</v>
      </c>
      <c r="U149" s="78">
        <v>0</v>
      </c>
      <c r="V149" s="51">
        <v>0</v>
      </c>
      <c r="W149" s="51">
        <v>0</v>
      </c>
      <c r="X149" s="51">
        <v>0</v>
      </c>
      <c r="Y149" s="51">
        <v>0</v>
      </c>
      <c r="Z149" s="52">
        <f t="shared" si="7"/>
        <v>24000</v>
      </c>
      <c r="AA149" s="38"/>
    </row>
    <row r="150" spans="1:27" ht="15">
      <c r="A150" s="6" t="s">
        <v>264</v>
      </c>
      <c r="B150" s="34" t="s">
        <v>36</v>
      </c>
      <c r="C150" s="34" t="s">
        <v>52</v>
      </c>
      <c r="D150" s="31">
        <v>3500</v>
      </c>
      <c r="E150" s="31">
        <v>0</v>
      </c>
      <c r="F150" s="31">
        <v>217.75900000000001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2">
        <f t="shared" si="6"/>
        <v>3717.759</v>
      </c>
      <c r="N150" s="8"/>
      <c r="O150" s="37"/>
      <c r="P150" s="36"/>
      <c r="Q150" s="51">
        <v>3500</v>
      </c>
      <c r="R150" s="51">
        <v>0</v>
      </c>
      <c r="S150" s="51">
        <v>218</v>
      </c>
      <c r="T150" s="51">
        <v>0</v>
      </c>
      <c r="U150" s="78">
        <v>0</v>
      </c>
      <c r="V150" s="51">
        <v>0</v>
      </c>
      <c r="W150" s="51">
        <v>0</v>
      </c>
      <c r="X150" s="51">
        <v>0</v>
      </c>
      <c r="Y150" s="51">
        <v>0</v>
      </c>
      <c r="Z150" s="52">
        <f t="shared" si="7"/>
        <v>3718</v>
      </c>
      <c r="AA150" s="38"/>
    </row>
    <row r="151" spans="1:27" ht="15">
      <c r="A151" s="6" t="s">
        <v>265</v>
      </c>
      <c r="B151" s="34" t="s">
        <v>70</v>
      </c>
      <c r="C151" s="34" t="s">
        <v>52</v>
      </c>
      <c r="D151" s="31">
        <v>7000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2">
        <f t="shared" si="6"/>
        <v>7000</v>
      </c>
      <c r="N151" s="8"/>
      <c r="O151" s="37"/>
      <c r="P151" s="39"/>
      <c r="Q151" s="51">
        <v>7000</v>
      </c>
      <c r="R151" s="51">
        <v>0</v>
      </c>
      <c r="S151" s="51">
        <v>0</v>
      </c>
      <c r="T151" s="51">
        <v>0</v>
      </c>
      <c r="U151" s="78">
        <v>0</v>
      </c>
      <c r="V151" s="51">
        <v>0</v>
      </c>
      <c r="W151" s="51">
        <v>0</v>
      </c>
      <c r="X151" s="51">
        <v>0</v>
      </c>
      <c r="Y151" s="51">
        <v>0</v>
      </c>
      <c r="Z151" s="52">
        <f t="shared" si="7"/>
        <v>7000</v>
      </c>
      <c r="AA151" s="38"/>
    </row>
    <row r="152" spans="1:27" ht="15">
      <c r="A152" s="6" t="s">
        <v>328</v>
      </c>
      <c r="B152" s="34" t="s">
        <v>329</v>
      </c>
      <c r="C152" s="34" t="s">
        <v>9</v>
      </c>
      <c r="D152" s="31">
        <v>10000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2">
        <f t="shared" si="6"/>
        <v>10000</v>
      </c>
      <c r="N152" s="8"/>
      <c r="O152" s="37"/>
      <c r="P152" s="39"/>
      <c r="Q152" s="51">
        <v>10000</v>
      </c>
      <c r="R152" s="51">
        <v>0</v>
      </c>
      <c r="S152" s="51">
        <v>0</v>
      </c>
      <c r="T152" s="51">
        <v>0</v>
      </c>
      <c r="U152" s="78">
        <v>0</v>
      </c>
      <c r="V152" s="51">
        <v>0</v>
      </c>
      <c r="W152" s="51">
        <v>0</v>
      </c>
      <c r="X152" s="51">
        <v>0</v>
      </c>
      <c r="Y152" s="51">
        <v>0</v>
      </c>
      <c r="Z152" s="52">
        <f t="shared" si="7"/>
        <v>10000</v>
      </c>
      <c r="AA152" s="38"/>
    </row>
    <row r="153" spans="1:27" ht="15">
      <c r="A153" s="6" t="s">
        <v>272</v>
      </c>
      <c r="B153" s="34" t="s">
        <v>37</v>
      </c>
      <c r="C153" s="34" t="s">
        <v>54</v>
      </c>
      <c r="D153" s="31">
        <f>3000+1500+15000+45000</f>
        <v>64500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25000</v>
      </c>
      <c r="K153" s="31">
        <v>0</v>
      </c>
      <c r="L153" s="31">
        <v>0</v>
      </c>
      <c r="M153" s="32">
        <f t="shared" si="6"/>
        <v>89500</v>
      </c>
      <c r="N153" s="8"/>
      <c r="O153" s="37"/>
      <c r="P153" s="36"/>
      <c r="Q153" s="51">
        <v>64500</v>
      </c>
      <c r="R153" s="51">
        <v>0</v>
      </c>
      <c r="S153" s="51">
        <v>0</v>
      </c>
      <c r="T153" s="51">
        <v>0</v>
      </c>
      <c r="U153" s="78">
        <v>0</v>
      </c>
      <c r="V153" s="51">
        <v>0</v>
      </c>
      <c r="W153" s="51">
        <v>25000</v>
      </c>
      <c r="X153" s="51">
        <v>0</v>
      </c>
      <c r="Y153" s="51">
        <v>0</v>
      </c>
      <c r="Z153" s="52">
        <f t="shared" si="7"/>
        <v>89500</v>
      </c>
      <c r="AA153" s="38"/>
    </row>
    <row r="154" spans="1:27" ht="15">
      <c r="A154" s="6" t="s">
        <v>304</v>
      </c>
      <c r="B154" s="34" t="s">
        <v>303</v>
      </c>
      <c r="C154" s="34" t="s">
        <v>8</v>
      </c>
      <c r="D154" s="31">
        <f>10000</f>
        <v>10000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f>25000+31700+28000+15000+20000+25000+20000</f>
        <v>164700</v>
      </c>
      <c r="K154" s="31">
        <v>0</v>
      </c>
      <c r="L154" s="31">
        <v>2790.233</v>
      </c>
      <c r="M154" s="32">
        <f t="shared" si="6"/>
        <v>177490.233</v>
      </c>
      <c r="N154" s="8"/>
      <c r="O154" s="37"/>
      <c r="P154" s="36"/>
      <c r="Q154" s="51">
        <v>10000</v>
      </c>
      <c r="R154" s="51">
        <v>0</v>
      </c>
      <c r="S154" s="51">
        <v>0</v>
      </c>
      <c r="T154" s="51">
        <v>0</v>
      </c>
      <c r="U154" s="78">
        <v>0</v>
      </c>
      <c r="V154" s="51">
        <v>0</v>
      </c>
      <c r="W154" s="51">
        <v>164700</v>
      </c>
      <c r="X154" s="51">
        <v>0</v>
      </c>
      <c r="Y154" s="51">
        <v>0</v>
      </c>
      <c r="Z154" s="52">
        <f t="shared" si="7"/>
        <v>174700</v>
      </c>
      <c r="AA154" s="38"/>
    </row>
    <row r="155" spans="1:27" ht="15">
      <c r="A155" s="6" t="s">
        <v>273</v>
      </c>
      <c r="B155" s="34" t="s">
        <v>38</v>
      </c>
      <c r="C155" s="34" t="s">
        <v>54</v>
      </c>
      <c r="D155" s="31">
        <f>9000+7500+40000</f>
        <v>56500</v>
      </c>
      <c r="E155" s="31">
        <f>70000+20000+20000</f>
        <v>110000</v>
      </c>
      <c r="F155" s="31">
        <v>0</v>
      </c>
      <c r="G155" s="31">
        <v>0</v>
      </c>
      <c r="H155" s="31">
        <v>0</v>
      </c>
      <c r="I155" s="31">
        <v>0</v>
      </c>
      <c r="J155" s="31">
        <f>12500+12500+21000</f>
        <v>46000</v>
      </c>
      <c r="K155" s="31">
        <v>0</v>
      </c>
      <c r="L155" s="31">
        <v>0</v>
      </c>
      <c r="M155" s="32">
        <f t="shared" si="6"/>
        <v>212500</v>
      </c>
      <c r="N155" s="8"/>
      <c r="O155" s="37"/>
      <c r="P155" s="36"/>
      <c r="Q155" s="51">
        <v>56500</v>
      </c>
      <c r="R155" s="51">
        <v>110000</v>
      </c>
      <c r="S155" s="51">
        <v>0</v>
      </c>
      <c r="T155" s="51">
        <v>0</v>
      </c>
      <c r="U155" s="78">
        <v>0</v>
      </c>
      <c r="V155" s="51">
        <v>0</v>
      </c>
      <c r="W155" s="51">
        <v>46000</v>
      </c>
      <c r="X155" s="51">
        <v>0</v>
      </c>
      <c r="Y155" s="51">
        <v>0</v>
      </c>
      <c r="Z155" s="52">
        <f t="shared" si="7"/>
        <v>212500</v>
      </c>
      <c r="AA155" s="38"/>
    </row>
    <row r="156" spans="1:27" ht="15">
      <c r="A156" s="6" t="s">
        <v>266</v>
      </c>
      <c r="B156" s="34" t="s">
        <v>39</v>
      </c>
      <c r="C156" s="34" t="s">
        <v>4</v>
      </c>
      <c r="D156" s="31">
        <f>12918+8500</f>
        <v>21418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35000</v>
      </c>
      <c r="K156" s="31">
        <v>0</v>
      </c>
      <c r="L156" s="31">
        <v>0</v>
      </c>
      <c r="M156" s="32">
        <f t="shared" si="6"/>
        <v>56418</v>
      </c>
      <c r="N156" s="8"/>
      <c r="O156" s="37"/>
      <c r="P156" s="36"/>
      <c r="Q156" s="51">
        <v>21418</v>
      </c>
      <c r="R156" s="51">
        <v>0</v>
      </c>
      <c r="S156" s="51">
        <v>0</v>
      </c>
      <c r="T156" s="51">
        <v>0</v>
      </c>
      <c r="U156" s="78">
        <v>0</v>
      </c>
      <c r="V156" s="51">
        <v>0</v>
      </c>
      <c r="W156" s="51">
        <v>35000</v>
      </c>
      <c r="X156" s="51">
        <v>0</v>
      </c>
      <c r="Y156" s="51">
        <v>0</v>
      </c>
      <c r="Z156" s="52">
        <f t="shared" si="7"/>
        <v>56418</v>
      </c>
      <c r="AA156" s="38"/>
    </row>
    <row r="157" spans="1:27" ht="15">
      <c r="A157" s="6" t="s">
        <v>267</v>
      </c>
      <c r="B157" s="34" t="s">
        <v>305</v>
      </c>
      <c r="C157" s="34" t="s">
        <v>8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30000</v>
      </c>
      <c r="K157" s="31">
        <v>0</v>
      </c>
      <c r="L157" s="31">
        <v>0</v>
      </c>
      <c r="M157" s="32">
        <f t="shared" si="6"/>
        <v>30000</v>
      </c>
      <c r="N157" s="8"/>
      <c r="O157" s="37"/>
      <c r="P157" s="36"/>
      <c r="Q157" s="51">
        <v>0</v>
      </c>
      <c r="R157" s="51">
        <v>0</v>
      </c>
      <c r="S157" s="51">
        <v>0</v>
      </c>
      <c r="T157" s="51">
        <v>0</v>
      </c>
      <c r="U157" s="78">
        <v>0</v>
      </c>
      <c r="V157" s="51">
        <v>0</v>
      </c>
      <c r="W157" s="51">
        <v>30000</v>
      </c>
      <c r="X157" s="51">
        <v>0</v>
      </c>
      <c r="Y157" s="51">
        <v>0</v>
      </c>
      <c r="Z157" s="52">
        <f t="shared" si="7"/>
        <v>30000</v>
      </c>
      <c r="AA157" s="38"/>
    </row>
    <row r="158" spans="1:27" ht="15">
      <c r="A158" s="6" t="s">
        <v>330</v>
      </c>
      <c r="B158" s="34" t="s">
        <v>331</v>
      </c>
      <c r="C158" s="34" t="s">
        <v>6</v>
      </c>
      <c r="D158" s="31">
        <v>20500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2">
        <f t="shared" si="6"/>
        <v>20500</v>
      </c>
      <c r="N158" s="8"/>
      <c r="O158" s="37"/>
      <c r="P158" s="36"/>
      <c r="Q158" s="51">
        <v>20500</v>
      </c>
      <c r="R158" s="51">
        <v>0</v>
      </c>
      <c r="S158" s="51">
        <v>0</v>
      </c>
      <c r="T158" s="51">
        <v>0</v>
      </c>
      <c r="U158" s="78">
        <v>0</v>
      </c>
      <c r="V158" s="51">
        <v>0</v>
      </c>
      <c r="W158" s="51">
        <v>0</v>
      </c>
      <c r="X158" s="51">
        <v>0</v>
      </c>
      <c r="Y158" s="51">
        <v>0</v>
      </c>
      <c r="Z158" s="52">
        <f t="shared" si="7"/>
        <v>20500</v>
      </c>
      <c r="AA158" s="38"/>
    </row>
    <row r="159" spans="1:27" ht="15">
      <c r="A159" s="6" t="s">
        <v>274</v>
      </c>
      <c r="B159" s="34" t="s">
        <v>102</v>
      </c>
      <c r="C159" s="34" t="s">
        <v>8</v>
      </c>
      <c r="D159" s="31">
        <v>45000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f>18000+36000</f>
        <v>54000</v>
      </c>
      <c r="K159" s="31">
        <v>0</v>
      </c>
      <c r="L159" s="31">
        <v>0</v>
      </c>
      <c r="M159" s="32">
        <f t="shared" si="6"/>
        <v>99000</v>
      </c>
      <c r="N159" s="8"/>
      <c r="O159" s="37"/>
      <c r="P159" s="36"/>
      <c r="Q159" s="51">
        <v>45000</v>
      </c>
      <c r="R159" s="51">
        <v>0</v>
      </c>
      <c r="S159" s="51">
        <v>0</v>
      </c>
      <c r="T159" s="51">
        <v>0</v>
      </c>
      <c r="U159" s="78">
        <v>0</v>
      </c>
      <c r="V159" s="51">
        <v>0</v>
      </c>
      <c r="W159" s="51">
        <v>54000</v>
      </c>
      <c r="X159" s="51">
        <v>0</v>
      </c>
      <c r="Y159" s="51">
        <v>0</v>
      </c>
      <c r="Z159" s="52">
        <f t="shared" si="7"/>
        <v>99000</v>
      </c>
      <c r="AA159" s="38"/>
    </row>
    <row r="160" spans="1:27" ht="15">
      <c r="A160" s="6" t="s">
        <v>281</v>
      </c>
      <c r="B160" s="34" t="s">
        <v>148</v>
      </c>
      <c r="C160" s="34" t="s">
        <v>6</v>
      </c>
      <c r="D160" s="31">
        <v>6000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2">
        <f t="shared" si="6"/>
        <v>6000</v>
      </c>
      <c r="N160" s="8"/>
      <c r="O160" s="37"/>
      <c r="P160" s="13"/>
      <c r="Q160" s="51">
        <v>6000</v>
      </c>
      <c r="R160" s="51">
        <v>0</v>
      </c>
      <c r="S160" s="51">
        <v>0</v>
      </c>
      <c r="T160" s="51">
        <v>0</v>
      </c>
      <c r="U160" s="78">
        <v>0</v>
      </c>
      <c r="V160" s="51">
        <v>0</v>
      </c>
      <c r="W160" s="51">
        <v>0</v>
      </c>
      <c r="X160" s="51">
        <v>0</v>
      </c>
      <c r="Y160" s="51">
        <v>0</v>
      </c>
      <c r="Z160" s="52">
        <f t="shared" si="7"/>
        <v>6000</v>
      </c>
      <c r="AA160" s="38"/>
    </row>
    <row r="161" spans="1:27" ht="15">
      <c r="A161" s="6" t="s">
        <v>302</v>
      </c>
      <c r="B161" s="34" t="s">
        <v>340</v>
      </c>
      <c r="C161" s="34" t="s">
        <v>9</v>
      </c>
      <c r="D161" s="31">
        <f>37000+10000</f>
        <v>47000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20000</v>
      </c>
      <c r="K161" s="31">
        <v>0</v>
      </c>
      <c r="L161" s="31">
        <v>0</v>
      </c>
      <c r="M161" s="32">
        <f t="shared" si="6"/>
        <v>67000</v>
      </c>
      <c r="N161" s="8"/>
      <c r="O161" s="37"/>
      <c r="P161" s="13"/>
      <c r="Q161" s="51">
        <v>47000</v>
      </c>
      <c r="R161" s="51">
        <v>0</v>
      </c>
      <c r="S161" s="51">
        <v>0</v>
      </c>
      <c r="T161" s="51">
        <v>0</v>
      </c>
      <c r="U161" s="78">
        <v>0</v>
      </c>
      <c r="V161" s="51">
        <v>0</v>
      </c>
      <c r="W161" s="51">
        <v>20000</v>
      </c>
      <c r="X161" s="51">
        <v>0</v>
      </c>
      <c r="Y161" s="51">
        <v>0</v>
      </c>
      <c r="Z161" s="52">
        <f t="shared" si="7"/>
        <v>67000</v>
      </c>
      <c r="AA161" s="38"/>
    </row>
    <row r="162" spans="1:27" ht="15">
      <c r="A162" s="6" t="s">
        <v>282</v>
      </c>
      <c r="B162" s="34" t="s">
        <v>167</v>
      </c>
      <c r="C162" s="34" t="s">
        <v>9</v>
      </c>
      <c r="D162" s="31">
        <f>600+37.5</f>
        <v>637.5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2">
        <f t="shared" si="6"/>
        <v>637.5</v>
      </c>
      <c r="N162" s="8"/>
      <c r="O162" s="37"/>
      <c r="P162" s="36"/>
      <c r="Q162" s="51">
        <v>638</v>
      </c>
      <c r="R162" s="51">
        <v>0</v>
      </c>
      <c r="S162" s="51">
        <v>0</v>
      </c>
      <c r="T162" s="51">
        <v>0</v>
      </c>
      <c r="U162" s="78">
        <v>0</v>
      </c>
      <c r="V162" s="51">
        <v>0</v>
      </c>
      <c r="W162" s="51">
        <v>0</v>
      </c>
      <c r="X162" s="51">
        <v>0</v>
      </c>
      <c r="Y162" s="51">
        <v>0</v>
      </c>
      <c r="Z162" s="52">
        <f t="shared" si="7"/>
        <v>638</v>
      </c>
      <c r="AA162" s="38"/>
    </row>
    <row r="163" spans="1:27" ht="15">
      <c r="A163" s="6" t="s">
        <v>276</v>
      </c>
      <c r="B163" s="34" t="s">
        <v>40</v>
      </c>
      <c r="C163" s="34" t="s">
        <v>6</v>
      </c>
      <c r="D163" s="31">
        <f>1200+2000+2000</f>
        <v>5200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2">
        <f t="shared" si="6"/>
        <v>5200</v>
      </c>
      <c r="N163" s="8"/>
      <c r="O163" s="37"/>
      <c r="P163" s="36"/>
      <c r="Q163" s="51">
        <v>5200</v>
      </c>
      <c r="R163" s="51">
        <v>0</v>
      </c>
      <c r="S163" s="51">
        <v>0</v>
      </c>
      <c r="T163" s="51">
        <v>0</v>
      </c>
      <c r="U163" s="78">
        <v>0</v>
      </c>
      <c r="V163" s="51">
        <v>0</v>
      </c>
      <c r="W163" s="51">
        <v>0</v>
      </c>
      <c r="X163" s="51">
        <v>0</v>
      </c>
      <c r="Y163" s="51">
        <v>0</v>
      </c>
      <c r="Z163" s="52">
        <f t="shared" si="7"/>
        <v>5200</v>
      </c>
      <c r="AA163" s="38"/>
    </row>
    <row r="164" spans="1:27" ht="15">
      <c r="A164" s="6" t="s">
        <v>277</v>
      </c>
      <c r="B164" s="34" t="s">
        <v>18</v>
      </c>
      <c r="C164" s="34" t="s">
        <v>4</v>
      </c>
      <c r="D164" s="31">
        <f>5000+5000</f>
        <v>10000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2">
        <f t="shared" si="6"/>
        <v>10000</v>
      </c>
      <c r="N164" s="8"/>
      <c r="O164" s="37"/>
      <c r="P164" s="36"/>
      <c r="Q164" s="51">
        <v>10000</v>
      </c>
      <c r="R164" s="51">
        <v>0</v>
      </c>
      <c r="S164" s="51">
        <v>0</v>
      </c>
      <c r="T164" s="51">
        <v>0</v>
      </c>
      <c r="U164" s="78">
        <v>0</v>
      </c>
      <c r="V164" s="51">
        <v>0</v>
      </c>
      <c r="W164" s="51">
        <v>0</v>
      </c>
      <c r="X164" s="51">
        <v>0</v>
      </c>
      <c r="Y164" s="51">
        <v>0</v>
      </c>
      <c r="Z164" s="52">
        <f t="shared" si="7"/>
        <v>10000</v>
      </c>
      <c r="AA164" s="38"/>
    </row>
    <row r="165" spans="1:27" s="4" customFormat="1" ht="15">
      <c r="A165" s="4" t="s">
        <v>278</v>
      </c>
      <c r="B165" s="34" t="s">
        <v>149</v>
      </c>
      <c r="C165" s="34" t="s">
        <v>8</v>
      </c>
      <c r="D165" s="31">
        <v>10000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2">
        <f>SUM(D165:L165)</f>
        <v>10000</v>
      </c>
      <c r="N165" s="3"/>
      <c r="O165" s="37"/>
      <c r="P165" s="36"/>
      <c r="Q165" s="51">
        <v>10000</v>
      </c>
      <c r="R165" s="51">
        <v>0</v>
      </c>
      <c r="S165" s="51">
        <v>0</v>
      </c>
      <c r="T165" s="51">
        <v>0</v>
      </c>
      <c r="U165" s="78">
        <v>0</v>
      </c>
      <c r="V165" s="51">
        <v>0</v>
      </c>
      <c r="W165" s="51">
        <v>0</v>
      </c>
      <c r="X165" s="51">
        <v>0</v>
      </c>
      <c r="Y165" s="51">
        <v>0</v>
      </c>
      <c r="Z165" s="52">
        <f t="shared" si="7"/>
        <v>10000</v>
      </c>
      <c r="AA165" s="38"/>
    </row>
    <row r="166" spans="1:27" s="4" customFormat="1" ht="15">
      <c r="A166" s="4" t="s">
        <v>307</v>
      </c>
      <c r="B166" s="34" t="s">
        <v>306</v>
      </c>
      <c r="C166" s="34" t="s">
        <v>9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15000</v>
      </c>
      <c r="K166" s="31">
        <v>0</v>
      </c>
      <c r="L166" s="31">
        <v>0</v>
      </c>
      <c r="M166" s="32">
        <f>SUM(D166:L166)</f>
        <v>15000</v>
      </c>
      <c r="N166" s="3"/>
      <c r="O166" s="37"/>
      <c r="P166" s="36"/>
      <c r="Q166" s="51">
        <v>0</v>
      </c>
      <c r="R166" s="51">
        <v>0</v>
      </c>
      <c r="S166" s="51">
        <v>0</v>
      </c>
      <c r="T166" s="51">
        <v>0</v>
      </c>
      <c r="U166" s="78">
        <v>0</v>
      </c>
      <c r="V166" s="51">
        <v>0</v>
      </c>
      <c r="W166" s="51">
        <v>15000</v>
      </c>
      <c r="X166" s="51">
        <v>0</v>
      </c>
      <c r="Y166" s="51">
        <v>0</v>
      </c>
      <c r="Z166" s="52">
        <f t="shared" si="7"/>
        <v>15000</v>
      </c>
      <c r="AA166" s="38"/>
    </row>
    <row r="167" spans="1:27" ht="15">
      <c r="A167" s="4" t="s">
        <v>283</v>
      </c>
      <c r="B167" s="34" t="s">
        <v>150</v>
      </c>
      <c r="C167" s="34" t="s">
        <v>110</v>
      </c>
      <c r="D167" s="31">
        <v>4000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2">
        <f>SUM(D167:L167)</f>
        <v>4000</v>
      </c>
      <c r="N167" s="8"/>
      <c r="O167" s="37"/>
      <c r="P167" s="36"/>
      <c r="Q167" s="51">
        <v>4000</v>
      </c>
      <c r="R167" s="51">
        <v>0</v>
      </c>
      <c r="S167" s="51">
        <v>0</v>
      </c>
      <c r="T167" s="51">
        <v>0</v>
      </c>
      <c r="U167" s="78">
        <v>0</v>
      </c>
      <c r="V167" s="51">
        <v>0</v>
      </c>
      <c r="W167" s="51">
        <v>0</v>
      </c>
      <c r="X167" s="51">
        <v>0</v>
      </c>
      <c r="Y167" s="51">
        <v>0</v>
      </c>
      <c r="Z167" s="52">
        <f t="shared" si="7"/>
        <v>4000</v>
      </c>
      <c r="AA167" s="38"/>
    </row>
    <row r="168" spans="1:27" ht="15">
      <c r="A168" s="4" t="s">
        <v>279</v>
      </c>
      <c r="B168" s="34" t="s">
        <v>69</v>
      </c>
      <c r="C168" s="34" t="s">
        <v>110</v>
      </c>
      <c r="D168" s="31">
        <f>10500+30000</f>
        <v>40500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f>70000+20000</f>
        <v>90000</v>
      </c>
      <c r="K168" s="31">
        <v>0</v>
      </c>
      <c r="L168" s="31">
        <v>0</v>
      </c>
      <c r="M168" s="32">
        <f>SUM(D168:L168)</f>
        <v>130500</v>
      </c>
      <c r="N168" s="8"/>
      <c r="O168" s="37"/>
      <c r="P168" s="36"/>
      <c r="Q168" s="51">
        <v>40500</v>
      </c>
      <c r="R168" s="51">
        <v>0</v>
      </c>
      <c r="S168" s="51">
        <v>0</v>
      </c>
      <c r="T168" s="51">
        <v>0</v>
      </c>
      <c r="U168" s="78">
        <v>0</v>
      </c>
      <c r="V168" s="51">
        <v>0</v>
      </c>
      <c r="W168" s="51">
        <v>90000</v>
      </c>
      <c r="X168" s="51">
        <v>0</v>
      </c>
      <c r="Y168" s="51">
        <v>0</v>
      </c>
      <c r="Z168" s="52">
        <f t="shared" si="7"/>
        <v>130500</v>
      </c>
      <c r="AA168" s="38"/>
    </row>
    <row r="169" spans="1:27" ht="15">
      <c r="A169" s="4" t="s">
        <v>83</v>
      </c>
      <c r="B169" s="70" t="s">
        <v>341</v>
      </c>
      <c r="C169" s="70" t="s">
        <v>6</v>
      </c>
      <c r="D169" s="33">
        <f>5000</f>
        <v>5000</v>
      </c>
      <c r="E169" s="31">
        <v>0</v>
      </c>
      <c r="F169" s="33">
        <v>0</v>
      </c>
      <c r="G169" s="33">
        <v>4612.544</v>
      </c>
      <c r="H169" s="33">
        <v>0</v>
      </c>
      <c r="I169" s="33">
        <v>6000</v>
      </c>
      <c r="J169" s="33">
        <v>0</v>
      </c>
      <c r="K169" s="33">
        <v>0</v>
      </c>
      <c r="L169" s="33">
        <v>0</v>
      </c>
      <c r="M169" s="32">
        <f>SUM(D169:L169)</f>
        <v>15612.544</v>
      </c>
      <c r="N169" s="8"/>
      <c r="O169" s="37"/>
      <c r="P169" s="36"/>
      <c r="Q169" s="51">
        <v>5000</v>
      </c>
      <c r="R169" s="51">
        <v>0</v>
      </c>
      <c r="S169" s="51">
        <v>0</v>
      </c>
      <c r="T169" s="51">
        <v>4613</v>
      </c>
      <c r="U169" s="78">
        <v>0</v>
      </c>
      <c r="V169" s="51">
        <v>6000</v>
      </c>
      <c r="W169" s="51">
        <v>0</v>
      </c>
      <c r="X169" s="51">
        <v>0</v>
      </c>
      <c r="Y169" s="51">
        <v>0</v>
      </c>
      <c r="Z169" s="52">
        <f t="shared" si="7"/>
        <v>15613</v>
      </c>
      <c r="AA169" s="38"/>
    </row>
    <row r="170" spans="2:26" ht="15">
      <c r="B170" s="70"/>
      <c r="C170" s="70"/>
      <c r="D170" s="33"/>
      <c r="E170" s="33"/>
      <c r="F170" s="33"/>
      <c r="G170" s="33"/>
      <c r="H170" s="33"/>
      <c r="I170" s="33"/>
      <c r="J170" s="33"/>
      <c r="K170" s="33"/>
      <c r="L170" s="33"/>
      <c r="M170" s="8"/>
      <c r="P170" s="36"/>
      <c r="Q170" s="53"/>
      <c r="R170" s="53"/>
      <c r="S170" s="53"/>
      <c r="T170" s="53"/>
      <c r="U170" s="77"/>
      <c r="V170" s="53"/>
      <c r="W170" s="53"/>
      <c r="X170" s="53"/>
      <c r="Y170" s="53"/>
      <c r="Z170" s="54"/>
    </row>
    <row r="171" spans="2:26" s="12" customFormat="1" ht="15.75" thickBot="1">
      <c r="B171" s="46" t="s">
        <v>55</v>
      </c>
      <c r="C171" s="46"/>
      <c r="D171" s="47">
        <f aca="true" t="shared" si="8" ref="D171:M171">SUM(D8:D169)</f>
        <v>2825473.7701</v>
      </c>
      <c r="E171" s="47">
        <f t="shared" si="8"/>
        <v>390000</v>
      </c>
      <c r="F171" s="47">
        <f t="shared" si="8"/>
        <v>4849.506</v>
      </c>
      <c r="G171" s="47">
        <f t="shared" si="8"/>
        <v>23505.629</v>
      </c>
      <c r="H171" s="47">
        <f t="shared" si="8"/>
        <v>2931.1859999999997</v>
      </c>
      <c r="I171" s="47">
        <f t="shared" si="8"/>
        <v>80867.64</v>
      </c>
      <c r="J171" s="47">
        <f t="shared" si="8"/>
        <v>3244100</v>
      </c>
      <c r="K171" s="47">
        <f t="shared" si="8"/>
        <v>0</v>
      </c>
      <c r="L171" s="47">
        <f t="shared" si="8"/>
        <v>18534.717</v>
      </c>
      <c r="M171" s="10">
        <f t="shared" si="8"/>
        <v>6590262.4481</v>
      </c>
      <c r="N171" s="10"/>
      <c r="P171" s="26"/>
      <c r="Q171" s="55">
        <f aca="true" t="shared" si="9" ref="Q171:Y171">SUM(Q8:Q169)</f>
        <v>2825473</v>
      </c>
      <c r="R171" s="55">
        <f t="shared" si="9"/>
        <v>390000</v>
      </c>
      <c r="S171" s="55">
        <f>SUM(S8:S169)-1</f>
        <v>4850</v>
      </c>
      <c r="T171" s="55">
        <f t="shared" si="9"/>
        <v>23505</v>
      </c>
      <c r="U171" s="79">
        <f>SUM(U8:U169)-1</f>
        <v>2931</v>
      </c>
      <c r="V171" s="55">
        <f>SUM(V8:V169)-1</f>
        <v>86368</v>
      </c>
      <c r="W171" s="55">
        <f t="shared" si="9"/>
        <v>3244100</v>
      </c>
      <c r="X171" s="55">
        <f t="shared" si="9"/>
        <v>542373</v>
      </c>
      <c r="Y171" s="55">
        <f t="shared" si="9"/>
        <v>0</v>
      </c>
      <c r="Z171" s="55">
        <f>SUM(Q171:Y171)</f>
        <v>7119600</v>
      </c>
    </row>
    <row r="172" spans="2:26" ht="15">
      <c r="B172" s="57"/>
      <c r="C172" s="58"/>
      <c r="D172" s="59"/>
      <c r="E172" s="59"/>
      <c r="F172" s="59"/>
      <c r="G172" s="56"/>
      <c r="H172" s="56"/>
      <c r="I172" s="56"/>
      <c r="J172" s="59"/>
      <c r="K172" s="59"/>
      <c r="L172" s="59"/>
      <c r="M172" s="56">
        <f>SUM(D171:L171)</f>
        <v>6590262.448100001</v>
      </c>
      <c r="N172" s="57"/>
      <c r="O172" s="57"/>
      <c r="P172" s="60"/>
      <c r="Q172" s="53"/>
      <c r="R172" s="53"/>
      <c r="S172" s="53"/>
      <c r="T172" s="53"/>
      <c r="U172" s="77"/>
      <c r="V172" s="53"/>
      <c r="W172" s="53"/>
      <c r="X172" s="53"/>
      <c r="Y172" s="53"/>
      <c r="Z172" s="54"/>
    </row>
    <row r="173" spans="2:26" ht="15">
      <c r="B173" s="61" t="s">
        <v>152</v>
      </c>
      <c r="C173" s="57"/>
      <c r="D173" s="57"/>
      <c r="E173" s="57"/>
      <c r="F173" s="57"/>
      <c r="G173" s="57"/>
      <c r="H173" s="57"/>
      <c r="I173" s="56"/>
      <c r="J173" s="57"/>
      <c r="K173" s="57"/>
      <c r="L173" s="57"/>
      <c r="M173" s="57"/>
      <c r="N173" s="57"/>
      <c r="O173" s="57"/>
      <c r="P173" s="66"/>
      <c r="Q173" s="57"/>
      <c r="R173" s="51"/>
      <c r="S173" s="51"/>
      <c r="T173" s="51"/>
      <c r="U173" s="78"/>
      <c r="V173" s="51"/>
      <c r="W173" s="51"/>
      <c r="X173" s="51"/>
      <c r="Y173" s="51"/>
      <c r="Z173" s="51"/>
    </row>
    <row r="174" spans="2:26" ht="15">
      <c r="B174" s="62" t="s">
        <v>45</v>
      </c>
      <c r="C174" s="62"/>
      <c r="D174" s="62" t="s">
        <v>0</v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80"/>
      <c r="V174" s="62"/>
      <c r="W174" s="62"/>
      <c r="X174" s="62"/>
      <c r="Y174" s="62"/>
      <c r="Z174" s="62"/>
    </row>
    <row r="175" spans="2:26" ht="15">
      <c r="B175" s="63"/>
      <c r="C175" s="57"/>
      <c r="D175" s="63"/>
      <c r="E175" s="56" t="e">
        <f>E171+#REF!</f>
        <v>#REF!</v>
      </c>
      <c r="F175" s="56" t="e">
        <f>F171+#REF!</f>
        <v>#REF!</v>
      </c>
      <c r="G175" s="56" t="e">
        <f>G171+#REF!</f>
        <v>#REF!</v>
      </c>
      <c r="H175" s="56" t="e">
        <f>H171+#REF!</f>
        <v>#REF!</v>
      </c>
      <c r="I175" s="56" t="e">
        <f>I171+#REF!</f>
        <v>#REF!</v>
      </c>
      <c r="J175" s="56" t="e">
        <f>J171+#REF!</f>
        <v>#REF!</v>
      </c>
      <c r="K175" s="56"/>
      <c r="L175" s="56"/>
      <c r="M175" s="56" t="e">
        <f>M171+#REF!</f>
        <v>#REF!</v>
      </c>
      <c r="N175" s="56"/>
      <c r="O175" s="57"/>
      <c r="P175" s="64" t="s">
        <v>72</v>
      </c>
      <c r="Q175" s="51"/>
      <c r="R175" s="51"/>
      <c r="S175" s="51"/>
      <c r="T175" s="51"/>
      <c r="U175" s="78"/>
      <c r="V175" s="51"/>
      <c r="W175" s="51"/>
      <c r="X175" s="51"/>
      <c r="Y175" s="51"/>
      <c r="Z175" s="52"/>
    </row>
    <row r="176" spans="2:26" ht="15">
      <c r="B176" s="57" t="s">
        <v>179</v>
      </c>
      <c r="C176" s="5" t="s">
        <v>7</v>
      </c>
      <c r="D176" s="61"/>
      <c r="E176" s="59"/>
      <c r="F176" s="56"/>
      <c r="G176" s="56"/>
      <c r="H176" s="56"/>
      <c r="I176" s="56"/>
      <c r="J176" s="59"/>
      <c r="K176" s="56"/>
      <c r="L176" s="59"/>
      <c r="M176" s="59"/>
      <c r="N176" s="57"/>
      <c r="O176" s="57"/>
      <c r="P176" s="60"/>
      <c r="Q176" s="51">
        <v>500</v>
      </c>
      <c r="R176" s="53"/>
      <c r="S176" s="53"/>
      <c r="T176" s="53"/>
      <c r="U176" s="77"/>
      <c r="V176" s="53"/>
      <c r="W176" s="53"/>
      <c r="X176" s="53"/>
      <c r="Y176" s="53"/>
      <c r="Z176" s="54">
        <v>500</v>
      </c>
    </row>
    <row r="177" spans="2:26" ht="15">
      <c r="B177" s="63"/>
      <c r="C177" s="57"/>
      <c r="D177" s="63"/>
      <c r="E177" s="59"/>
      <c r="F177" s="56"/>
      <c r="G177" s="56"/>
      <c r="H177" s="56"/>
      <c r="I177" s="56"/>
      <c r="J177" s="56"/>
      <c r="K177" s="56" t="e">
        <f>K171+#REF!+#REF!</f>
        <v>#REF!</v>
      </c>
      <c r="L177" s="56" t="e">
        <f>#REF!-2</f>
        <v>#REF!</v>
      </c>
      <c r="M177" s="56" t="e">
        <f>K177+L177</f>
        <v>#REF!</v>
      </c>
      <c r="N177" s="57"/>
      <c r="O177" s="57"/>
      <c r="P177" s="64" t="s">
        <v>94</v>
      </c>
      <c r="Q177" s="51"/>
      <c r="R177" s="51"/>
      <c r="S177" s="51"/>
      <c r="T177" s="51"/>
      <c r="U177" s="78"/>
      <c r="V177" s="51"/>
      <c r="W177" s="51"/>
      <c r="X177" s="51"/>
      <c r="Y177" s="51"/>
      <c r="Z177" s="52"/>
    </row>
    <row r="178" spans="2:26" ht="15.75" thickBot="1">
      <c r="B178" s="46" t="s">
        <v>151</v>
      </c>
      <c r="C178" s="46"/>
      <c r="D178" s="47"/>
      <c r="E178" s="47"/>
      <c r="F178" s="47"/>
      <c r="G178" s="47"/>
      <c r="H178" s="47"/>
      <c r="I178" s="47"/>
      <c r="J178" s="47"/>
      <c r="K178" s="47"/>
      <c r="L178" s="47"/>
      <c r="M178" s="10"/>
      <c r="N178" s="10"/>
      <c r="O178" s="12"/>
      <c r="P178" s="26"/>
      <c r="Q178" s="55">
        <v>500</v>
      </c>
      <c r="R178" s="55">
        <v>0</v>
      </c>
      <c r="S178" s="55">
        <v>0</v>
      </c>
      <c r="T178" s="55">
        <v>0</v>
      </c>
      <c r="U178" s="79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f>SUM(Z176:Z177)</f>
        <v>500</v>
      </c>
    </row>
    <row r="179" spans="1:26" ht="12.75">
      <c r="A179" s="48"/>
      <c r="B179" s="57"/>
      <c r="C179" s="58"/>
      <c r="D179" s="59"/>
      <c r="E179" s="59"/>
      <c r="F179" s="59"/>
      <c r="G179" s="59"/>
      <c r="H179" s="59"/>
      <c r="I179" s="59"/>
      <c r="J179" s="59"/>
      <c r="K179" s="59"/>
      <c r="L179" s="59"/>
      <c r="M179" s="57"/>
      <c r="N179" s="65" t="e">
        <f>M171+#REF!</f>
        <v>#REF!</v>
      </c>
      <c r="O179" s="57"/>
      <c r="P179" s="66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2:26" ht="12.75">
      <c r="B180" s="61" t="s">
        <v>1</v>
      </c>
      <c r="C180" s="58"/>
      <c r="D180" s="59"/>
      <c r="E180" s="59"/>
      <c r="F180" s="59"/>
      <c r="G180" s="59"/>
      <c r="H180" s="59"/>
      <c r="I180" s="59"/>
      <c r="J180" s="59"/>
      <c r="K180" s="59"/>
      <c r="L180" s="59"/>
      <c r="M180" s="58"/>
      <c r="N180" s="65" t="e">
        <f>#REF!-N179</f>
        <v>#REF!</v>
      </c>
      <c r="O180" s="57"/>
      <c r="P180" s="66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2:26" ht="13.5" thickBot="1">
      <c r="B181" s="67" t="s">
        <v>45</v>
      </c>
      <c r="C181" s="57"/>
      <c r="D181" s="56"/>
      <c r="E181" s="56"/>
      <c r="F181" s="56"/>
      <c r="G181" s="56"/>
      <c r="H181" s="56"/>
      <c r="I181" s="56"/>
      <c r="J181" s="56"/>
      <c r="K181" s="56"/>
      <c r="L181" s="56"/>
      <c r="M181" s="57"/>
      <c r="N181" s="57"/>
      <c r="O181" s="57"/>
      <c r="P181" s="66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2:26" ht="12.75">
      <c r="B182" s="57" t="s">
        <v>93</v>
      </c>
      <c r="C182" s="34" t="s">
        <v>8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2"/>
      <c r="N182" s="8"/>
      <c r="O182" s="37"/>
      <c r="P182" s="36"/>
      <c r="Q182" s="51"/>
      <c r="R182" s="51"/>
      <c r="S182" s="51"/>
      <c r="T182" s="51"/>
      <c r="U182" s="51"/>
      <c r="V182" s="51"/>
      <c r="W182" s="51"/>
      <c r="X182" s="51"/>
      <c r="Y182" s="51">
        <v>2515</v>
      </c>
      <c r="Z182" s="52">
        <f aca="true" t="shared" si="10" ref="Z182:Z187">Y182</f>
        <v>2515</v>
      </c>
    </row>
    <row r="183" spans="1:26" ht="12.75">
      <c r="A183" s="48"/>
      <c r="B183" s="57" t="s">
        <v>179</v>
      </c>
      <c r="C183" s="34" t="s">
        <v>7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2"/>
      <c r="N183" s="3"/>
      <c r="O183" s="37"/>
      <c r="P183" s="36"/>
      <c r="Q183" s="51"/>
      <c r="R183" s="51"/>
      <c r="S183" s="51"/>
      <c r="T183" s="51"/>
      <c r="U183" s="51"/>
      <c r="V183" s="51"/>
      <c r="W183" s="51"/>
      <c r="X183" s="51"/>
      <c r="Y183" s="51">
        <v>3736</v>
      </c>
      <c r="Z183" s="52">
        <f t="shared" si="10"/>
        <v>3736</v>
      </c>
    </row>
    <row r="184" spans="2:26" ht="12.75">
      <c r="B184" s="68" t="s">
        <v>288</v>
      </c>
      <c r="C184" s="34" t="s">
        <v>5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2"/>
      <c r="N184" s="3"/>
      <c r="O184" s="37"/>
      <c r="P184" s="36"/>
      <c r="Q184" s="51"/>
      <c r="R184" s="51"/>
      <c r="S184" s="51"/>
      <c r="T184" s="51"/>
      <c r="U184" s="51"/>
      <c r="V184" s="51"/>
      <c r="W184" s="51"/>
      <c r="X184" s="51"/>
      <c r="Y184" s="51">
        <v>2822</v>
      </c>
      <c r="Z184" s="52">
        <f t="shared" si="10"/>
        <v>2822</v>
      </c>
    </row>
    <row r="185" spans="2:26" ht="12.75">
      <c r="B185" s="57" t="s">
        <v>65</v>
      </c>
      <c r="C185" s="34" t="s">
        <v>6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2"/>
      <c r="N185" s="8"/>
      <c r="O185" s="37"/>
      <c r="P185" s="36"/>
      <c r="Q185" s="51"/>
      <c r="R185" s="51"/>
      <c r="S185" s="51"/>
      <c r="T185" s="51"/>
      <c r="U185" s="51"/>
      <c r="V185" s="51"/>
      <c r="W185" s="51"/>
      <c r="X185" s="51"/>
      <c r="Y185" s="51">
        <v>2792</v>
      </c>
      <c r="Z185" s="52">
        <f t="shared" si="10"/>
        <v>2792</v>
      </c>
    </row>
    <row r="186" spans="2:26" ht="12.75">
      <c r="B186" s="63" t="s">
        <v>41</v>
      </c>
      <c r="C186" s="34" t="s">
        <v>4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2"/>
      <c r="N186" s="8"/>
      <c r="O186" s="37"/>
      <c r="P186" s="36"/>
      <c r="Q186" s="51"/>
      <c r="R186" s="51"/>
      <c r="S186" s="51"/>
      <c r="T186" s="51"/>
      <c r="U186" s="51"/>
      <c r="V186" s="51"/>
      <c r="W186" s="51"/>
      <c r="X186" s="51"/>
      <c r="Y186" s="51">
        <v>3878</v>
      </c>
      <c r="Z186" s="52">
        <f t="shared" si="10"/>
        <v>3878</v>
      </c>
    </row>
    <row r="187" spans="2:26" ht="12.75">
      <c r="B187" s="57" t="s">
        <v>303</v>
      </c>
      <c r="C187" s="70" t="s">
        <v>8</v>
      </c>
      <c r="D187" s="33"/>
      <c r="E187" s="31"/>
      <c r="F187" s="33"/>
      <c r="G187" s="33"/>
      <c r="H187" s="33"/>
      <c r="I187" s="33"/>
      <c r="J187" s="33"/>
      <c r="K187" s="33"/>
      <c r="L187" s="33"/>
      <c r="M187" s="32"/>
      <c r="N187" s="8"/>
      <c r="O187" s="37"/>
      <c r="P187" s="36"/>
      <c r="Q187" s="51"/>
      <c r="R187" s="51"/>
      <c r="S187" s="51"/>
      <c r="T187" s="51"/>
      <c r="U187" s="51"/>
      <c r="V187" s="51"/>
      <c r="W187" s="51"/>
      <c r="X187" s="51"/>
      <c r="Y187" s="51">
        <v>2792</v>
      </c>
      <c r="Z187" s="52">
        <f t="shared" si="10"/>
        <v>2792</v>
      </c>
    </row>
    <row r="188" spans="2:26" ht="12.75">
      <c r="B188" s="63"/>
      <c r="C188" s="70"/>
      <c r="D188" s="33"/>
      <c r="E188" s="33"/>
      <c r="F188" s="33"/>
      <c r="G188" s="33"/>
      <c r="H188" s="33"/>
      <c r="I188" s="33"/>
      <c r="J188" s="33"/>
      <c r="K188" s="33"/>
      <c r="L188" s="33"/>
      <c r="M188" s="8"/>
      <c r="P188" s="36"/>
      <c r="Q188" s="53"/>
      <c r="R188" s="53"/>
      <c r="S188" s="53"/>
      <c r="T188" s="53"/>
      <c r="U188" s="53"/>
      <c r="V188" s="53"/>
      <c r="W188" s="53"/>
      <c r="X188" s="53"/>
      <c r="Y188" s="53"/>
      <c r="Z188" s="54"/>
    </row>
    <row r="189" spans="2:26" ht="13.5" thickBot="1">
      <c r="B189" s="69" t="s">
        <v>369</v>
      </c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10"/>
      <c r="N189" s="10"/>
      <c r="O189" s="12"/>
      <c r="P189" s="26"/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f>SUM(Y182:Y187)</f>
        <v>18535</v>
      </c>
      <c r="Z189" s="55">
        <f>SUM(Z182:Z187)</f>
        <v>18535</v>
      </c>
    </row>
    <row r="190" spans="2:26" ht="12.75">
      <c r="B190" s="57"/>
      <c r="C190" s="57"/>
      <c r="D190" s="57"/>
      <c r="E190" s="57"/>
      <c r="F190" s="57"/>
      <c r="G190" s="57"/>
      <c r="H190" s="57"/>
      <c r="I190" s="56"/>
      <c r="J190" s="57"/>
      <c r="K190" s="57"/>
      <c r="L190" s="57"/>
      <c r="M190" s="57"/>
      <c r="N190" s="57"/>
      <c r="O190" s="57"/>
      <c r="P190" s="66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2:26" ht="13.5" thickBot="1">
      <c r="B191" s="1" t="s">
        <v>2</v>
      </c>
      <c r="C191" s="46"/>
      <c r="D191" s="2"/>
      <c r="E191" s="2"/>
      <c r="F191" s="2"/>
      <c r="G191" s="2"/>
      <c r="H191" s="2"/>
      <c r="I191" s="40"/>
      <c r="J191" s="2"/>
      <c r="K191" s="2"/>
      <c r="L191" s="2"/>
      <c r="M191" s="2"/>
      <c r="N191" s="2"/>
      <c r="O191" s="2"/>
      <c r="P191" s="71"/>
      <c r="Q191" s="55">
        <f>Q171+Q178+Q189</f>
        <v>2825973</v>
      </c>
      <c r="R191" s="55">
        <f aca="true" t="shared" si="11" ref="R191:Z191">R171+R178+R189</f>
        <v>390000</v>
      </c>
      <c r="S191" s="55">
        <f t="shared" si="11"/>
        <v>4850</v>
      </c>
      <c r="T191" s="55">
        <f t="shared" si="11"/>
        <v>23505</v>
      </c>
      <c r="U191" s="55">
        <f t="shared" si="11"/>
        <v>2931</v>
      </c>
      <c r="V191" s="55">
        <f t="shared" si="11"/>
        <v>86368</v>
      </c>
      <c r="W191" s="55">
        <f t="shared" si="11"/>
        <v>3244100</v>
      </c>
      <c r="X191" s="55">
        <f t="shared" si="11"/>
        <v>542373</v>
      </c>
      <c r="Y191" s="55">
        <f t="shared" si="11"/>
        <v>18535</v>
      </c>
      <c r="Z191" s="55">
        <f t="shared" si="11"/>
        <v>7138635</v>
      </c>
    </row>
    <row r="192" spans="2:26" ht="13.5" thickTop="1">
      <c r="B192" s="61"/>
      <c r="C192" s="57"/>
      <c r="D192" s="57"/>
      <c r="E192" s="57"/>
      <c r="F192" s="57"/>
      <c r="G192" s="57"/>
      <c r="H192" s="57"/>
      <c r="I192" s="56"/>
      <c r="J192" s="57"/>
      <c r="K192" s="57"/>
      <c r="L192" s="57"/>
      <c r="M192" s="57"/>
      <c r="N192" s="57"/>
      <c r="O192" s="57"/>
      <c r="P192" s="66"/>
      <c r="Q192" s="57"/>
      <c r="R192" s="57"/>
      <c r="S192" s="57"/>
      <c r="T192" s="57"/>
      <c r="U192" s="57"/>
      <c r="V192" s="57"/>
      <c r="W192" s="57"/>
      <c r="X192" s="57"/>
      <c r="Y192" s="56"/>
      <c r="Z192" s="57"/>
    </row>
    <row r="193" spans="2:26" ht="12.75">
      <c r="B193" s="61"/>
      <c r="C193" s="57"/>
      <c r="D193" s="57"/>
      <c r="E193" s="57"/>
      <c r="F193" s="57"/>
      <c r="G193" s="57"/>
      <c r="H193" s="57"/>
      <c r="I193" s="56"/>
      <c r="J193" s="57"/>
      <c r="K193" s="57"/>
      <c r="L193" s="57"/>
      <c r="M193" s="57"/>
      <c r="N193" s="57"/>
      <c r="O193" s="57"/>
      <c r="P193" s="66"/>
      <c r="Q193" s="57"/>
      <c r="R193" s="57"/>
      <c r="S193" s="57"/>
      <c r="T193" s="57"/>
      <c r="U193" s="57"/>
      <c r="V193" s="57"/>
      <c r="W193" s="57"/>
      <c r="X193" s="57"/>
      <c r="Y193" s="56"/>
      <c r="Z193" s="57"/>
    </row>
    <row r="194" spans="2:26" ht="12.75">
      <c r="B194" s="61"/>
      <c r="C194" s="57"/>
      <c r="D194" s="57"/>
      <c r="E194" s="57"/>
      <c r="F194" s="57"/>
      <c r="G194" s="57"/>
      <c r="H194" s="57"/>
      <c r="I194" s="56"/>
      <c r="J194" s="57"/>
      <c r="K194" s="57"/>
      <c r="L194" s="57"/>
      <c r="M194" s="57"/>
      <c r="N194" s="57"/>
      <c r="O194" s="57"/>
      <c r="P194" s="66"/>
      <c r="Q194" s="57"/>
      <c r="R194" s="57"/>
      <c r="S194" s="57"/>
      <c r="T194" s="57"/>
      <c r="U194" s="57"/>
      <c r="V194" s="57"/>
      <c r="W194" s="57"/>
      <c r="X194" s="57"/>
      <c r="Y194" s="56"/>
      <c r="Z194" s="57"/>
    </row>
    <row r="195" spans="2:26" ht="12.75">
      <c r="B195" s="61" t="s">
        <v>350</v>
      </c>
      <c r="C195" s="57"/>
      <c r="D195" s="57"/>
      <c r="E195" s="57"/>
      <c r="F195" s="57"/>
      <c r="G195" s="57"/>
      <c r="H195" s="57"/>
      <c r="I195" s="56"/>
      <c r="J195" s="57"/>
      <c r="K195" s="57"/>
      <c r="L195" s="57"/>
      <c r="M195" s="57"/>
      <c r="N195" s="57"/>
      <c r="O195" s="57"/>
      <c r="P195" s="66"/>
      <c r="Q195" s="57">
        <v>0</v>
      </c>
      <c r="R195" s="57">
        <v>0</v>
      </c>
      <c r="S195" s="57">
        <v>0</v>
      </c>
      <c r="T195" s="57">
        <v>0</v>
      </c>
      <c r="U195" s="57">
        <v>0</v>
      </c>
      <c r="V195" s="57">
        <v>0</v>
      </c>
      <c r="W195" s="57">
        <v>0</v>
      </c>
      <c r="X195" s="57">
        <v>0</v>
      </c>
      <c r="Y195" s="56">
        <v>0</v>
      </c>
      <c r="Z195" s="74">
        <v>315126</v>
      </c>
    </row>
    <row r="196" spans="2:26" ht="12.75">
      <c r="B196" s="61"/>
      <c r="C196" s="57"/>
      <c r="D196" s="57"/>
      <c r="E196" s="57"/>
      <c r="F196" s="57"/>
      <c r="G196" s="57"/>
      <c r="H196" s="57"/>
      <c r="I196" s="56"/>
      <c r="J196" s="57"/>
      <c r="K196" s="57"/>
      <c r="L196" s="57"/>
      <c r="M196" s="57"/>
      <c r="N196" s="57"/>
      <c r="O196" s="57"/>
      <c r="P196" s="66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2:26" ht="13.5" thickBot="1">
      <c r="B197" s="72" t="s">
        <v>351</v>
      </c>
      <c r="C197" s="57"/>
      <c r="D197" s="57"/>
      <c r="E197" s="57"/>
      <c r="F197" s="57"/>
      <c r="G197" s="57"/>
      <c r="H197" s="57"/>
      <c r="I197" s="56"/>
      <c r="J197" s="57"/>
      <c r="K197" s="57"/>
      <c r="L197" s="57"/>
      <c r="M197" s="57"/>
      <c r="N197" s="57"/>
      <c r="O197" s="57"/>
      <c r="P197" s="73"/>
      <c r="Q197" s="55">
        <f>Q191+Q195</f>
        <v>2825973</v>
      </c>
      <c r="R197" s="55">
        <f aca="true" t="shared" si="12" ref="R197:Y197">R191+R195</f>
        <v>390000</v>
      </c>
      <c r="S197" s="55">
        <f t="shared" si="12"/>
        <v>4850</v>
      </c>
      <c r="T197" s="55">
        <f t="shared" si="12"/>
        <v>23505</v>
      </c>
      <c r="U197" s="55">
        <f t="shared" si="12"/>
        <v>2931</v>
      </c>
      <c r="V197" s="55">
        <f t="shared" si="12"/>
        <v>86368</v>
      </c>
      <c r="W197" s="55">
        <f t="shared" si="12"/>
        <v>3244100</v>
      </c>
      <c r="X197" s="55">
        <f t="shared" si="12"/>
        <v>542373</v>
      </c>
      <c r="Y197" s="55">
        <f t="shared" si="12"/>
        <v>18535</v>
      </c>
      <c r="Z197" s="55">
        <f>Z191+Z195</f>
        <v>7453761</v>
      </c>
    </row>
    <row r="198" spans="2:26" ht="13.5" thickTop="1">
      <c r="B198" s="57"/>
      <c r="C198" s="57"/>
      <c r="D198" s="57"/>
      <c r="E198" s="57"/>
      <c r="F198" s="57"/>
      <c r="G198" s="57"/>
      <c r="H198" s="57"/>
      <c r="I198" s="56"/>
      <c r="J198" s="57"/>
      <c r="K198" s="57"/>
      <c r="L198" s="57"/>
      <c r="M198" s="57"/>
      <c r="N198" s="57"/>
      <c r="O198" s="57"/>
      <c r="P198" s="66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2:26" ht="12.75">
      <c r="B199" s="57"/>
      <c r="C199" s="57"/>
      <c r="D199" s="57"/>
      <c r="E199" s="57"/>
      <c r="F199" s="57"/>
      <c r="G199" s="57"/>
      <c r="H199" s="57"/>
      <c r="I199" s="56"/>
      <c r="J199" s="57"/>
      <c r="K199" s="57"/>
      <c r="L199" s="57"/>
      <c r="M199" s="57"/>
      <c r="N199" s="57"/>
      <c r="O199" s="57"/>
      <c r="P199" s="66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2:26" ht="12.75">
      <c r="B200" s="57"/>
      <c r="C200" s="57"/>
      <c r="D200" s="57"/>
      <c r="E200" s="57"/>
      <c r="F200" s="57"/>
      <c r="G200" s="57"/>
      <c r="H200" s="57"/>
      <c r="I200" s="56"/>
      <c r="J200" s="57"/>
      <c r="K200" s="57"/>
      <c r="L200" s="57"/>
      <c r="M200" s="57"/>
      <c r="N200" s="57"/>
      <c r="O200" s="57"/>
      <c r="P200" s="66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2:26" ht="12.75">
      <c r="B201" s="57"/>
      <c r="C201" s="57"/>
      <c r="D201" s="57"/>
      <c r="E201" s="57"/>
      <c r="F201" s="57"/>
      <c r="G201" s="57"/>
      <c r="H201" s="57"/>
      <c r="I201" s="56"/>
      <c r="J201" s="57"/>
      <c r="K201" s="57"/>
      <c r="L201" s="57"/>
      <c r="M201" s="57"/>
      <c r="N201" s="57"/>
      <c r="O201" s="57"/>
      <c r="P201" s="66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2:26" ht="12.75">
      <c r="B202" s="57"/>
      <c r="C202" s="57"/>
      <c r="D202" s="57"/>
      <c r="E202" s="57"/>
      <c r="F202" s="57"/>
      <c r="G202" s="57"/>
      <c r="H202" s="57"/>
      <c r="I202" s="56"/>
      <c r="J202" s="57"/>
      <c r="K202" s="57"/>
      <c r="L202" s="57"/>
      <c r="M202" s="57"/>
      <c r="N202" s="57"/>
      <c r="O202" s="57"/>
      <c r="P202" s="66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2:26" ht="12.75">
      <c r="B203" s="57"/>
      <c r="C203" s="57"/>
      <c r="D203" s="57"/>
      <c r="E203" s="57"/>
      <c r="F203" s="57"/>
      <c r="G203" s="57"/>
      <c r="H203" s="57"/>
      <c r="I203" s="56"/>
      <c r="J203" s="57"/>
      <c r="K203" s="57"/>
      <c r="L203" s="57"/>
      <c r="M203" s="57"/>
      <c r="N203" s="57"/>
      <c r="O203" s="57"/>
      <c r="P203" s="66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2:17" ht="12.75">
      <c r="B204" s="57"/>
      <c r="C204" s="57"/>
      <c r="D204" s="57"/>
      <c r="E204" s="57"/>
      <c r="F204" s="57"/>
      <c r="G204" s="57"/>
      <c r="H204" s="57"/>
      <c r="I204" s="56"/>
      <c r="J204" s="57"/>
      <c r="K204" s="57"/>
      <c r="L204" s="57"/>
      <c r="M204" s="57"/>
      <c r="N204" s="57"/>
      <c r="O204" s="57"/>
      <c r="P204" s="66"/>
      <c r="Q204" s="57"/>
    </row>
    <row r="205" spans="2:17" ht="12.75">
      <c r="B205" s="57"/>
      <c r="C205" s="57"/>
      <c r="D205" s="57"/>
      <c r="E205" s="57"/>
      <c r="F205" s="57"/>
      <c r="G205" s="57"/>
      <c r="H205" s="57"/>
      <c r="I205" s="56"/>
      <c r="J205" s="57"/>
      <c r="K205" s="57"/>
      <c r="L205" s="57"/>
      <c r="M205" s="57"/>
      <c r="N205" s="57"/>
      <c r="O205" s="57"/>
      <c r="P205" s="66"/>
      <c r="Q205" s="57"/>
    </row>
    <row r="206" spans="2:17" ht="12.75">
      <c r="B206" s="57"/>
      <c r="C206" s="57"/>
      <c r="D206" s="57"/>
      <c r="E206" s="57"/>
      <c r="F206" s="57"/>
      <c r="G206" s="57"/>
      <c r="H206" s="57"/>
      <c r="I206" s="56"/>
      <c r="J206" s="57"/>
      <c r="K206" s="57"/>
      <c r="L206" s="57"/>
      <c r="M206" s="57"/>
      <c r="N206" s="57"/>
      <c r="O206" s="57"/>
      <c r="P206" s="66"/>
      <c r="Q206" s="57"/>
    </row>
    <row r="207" spans="2:17" ht="12.75">
      <c r="B207" s="57"/>
      <c r="C207" s="57"/>
      <c r="D207" s="57"/>
      <c r="E207" s="57"/>
      <c r="F207" s="57"/>
      <c r="G207" s="57"/>
      <c r="H207" s="57"/>
      <c r="I207" s="56"/>
      <c r="J207" s="57"/>
      <c r="K207" s="57"/>
      <c r="L207" s="57"/>
      <c r="M207" s="57"/>
      <c r="N207" s="57"/>
      <c r="O207" s="57"/>
      <c r="P207" s="66"/>
      <c r="Q207" s="57"/>
    </row>
    <row r="208" spans="2:17" ht="12.75">
      <c r="B208" s="57"/>
      <c r="C208" s="57"/>
      <c r="D208" s="57"/>
      <c r="E208" s="57"/>
      <c r="F208" s="57"/>
      <c r="G208" s="57"/>
      <c r="H208" s="57"/>
      <c r="I208" s="56"/>
      <c r="J208" s="57"/>
      <c r="K208" s="57"/>
      <c r="L208" s="57"/>
      <c r="M208" s="57"/>
      <c r="N208" s="57"/>
      <c r="O208" s="57"/>
      <c r="P208" s="66"/>
      <c r="Q208" s="57"/>
    </row>
    <row r="209" spans="2:17" ht="12.75">
      <c r="B209" s="57"/>
      <c r="C209" s="57"/>
      <c r="D209" s="57"/>
      <c r="E209" s="57"/>
      <c r="F209" s="57"/>
      <c r="G209" s="57"/>
      <c r="H209" s="57"/>
      <c r="I209" s="56"/>
      <c r="J209" s="57"/>
      <c r="K209" s="57"/>
      <c r="L209" s="57"/>
      <c r="M209" s="57"/>
      <c r="N209" s="57"/>
      <c r="O209" s="57"/>
      <c r="P209" s="66"/>
      <c r="Q209" s="57"/>
    </row>
    <row r="210" spans="2:17" ht="12.75">
      <c r="B210" s="57"/>
      <c r="C210" s="57"/>
      <c r="D210" s="57"/>
      <c r="E210" s="57"/>
      <c r="F210" s="57"/>
      <c r="G210" s="57"/>
      <c r="H210" s="57"/>
      <c r="I210" s="56"/>
      <c r="J210" s="57"/>
      <c r="K210" s="57"/>
      <c r="L210" s="57"/>
      <c r="M210" s="57"/>
      <c r="N210" s="57"/>
      <c r="O210" s="57"/>
      <c r="P210" s="66"/>
      <c r="Q210" s="57"/>
    </row>
    <row r="211" spans="2:17" ht="12.75">
      <c r="B211" s="57"/>
      <c r="C211" s="57"/>
      <c r="D211" s="57"/>
      <c r="E211" s="57"/>
      <c r="F211" s="57"/>
      <c r="G211" s="57"/>
      <c r="H211" s="57"/>
      <c r="I211" s="56"/>
      <c r="J211" s="57"/>
      <c r="K211" s="57"/>
      <c r="L211" s="57"/>
      <c r="M211" s="57"/>
      <c r="N211" s="57"/>
      <c r="O211" s="57"/>
      <c r="P211" s="66"/>
      <c r="Q211" s="57"/>
    </row>
    <row r="212" spans="2:17" ht="12.75">
      <c r="B212" s="57"/>
      <c r="C212" s="57"/>
      <c r="D212" s="57"/>
      <c r="E212" s="57"/>
      <c r="F212" s="57"/>
      <c r="G212" s="57"/>
      <c r="H212" s="57"/>
      <c r="I212" s="56"/>
      <c r="J212" s="57"/>
      <c r="K212" s="57"/>
      <c r="L212" s="57"/>
      <c r="M212" s="57"/>
      <c r="N212" s="57"/>
      <c r="O212" s="57"/>
      <c r="P212" s="66"/>
      <c r="Q212" s="57"/>
    </row>
    <row r="213" spans="2:17" ht="12.75">
      <c r="B213" s="57"/>
      <c r="C213" s="57"/>
      <c r="D213" s="57"/>
      <c r="E213" s="57"/>
      <c r="F213" s="57"/>
      <c r="G213" s="57"/>
      <c r="H213" s="57"/>
      <c r="I213" s="56"/>
      <c r="J213" s="57"/>
      <c r="K213" s="57"/>
      <c r="L213" s="57"/>
      <c r="M213" s="57"/>
      <c r="N213" s="57"/>
      <c r="O213" s="57"/>
      <c r="P213" s="66"/>
      <c r="Q213" s="57"/>
    </row>
    <row r="214" spans="2:17" ht="12.75">
      <c r="B214" s="57"/>
      <c r="C214" s="57"/>
      <c r="D214" s="57"/>
      <c r="E214" s="57"/>
      <c r="F214" s="57"/>
      <c r="G214" s="57"/>
      <c r="H214" s="57"/>
      <c r="I214" s="56"/>
      <c r="J214" s="57"/>
      <c r="K214" s="57"/>
      <c r="L214" s="57"/>
      <c r="M214" s="57"/>
      <c r="N214" s="57"/>
      <c r="O214" s="57"/>
      <c r="P214" s="66"/>
      <c r="Q214" s="57"/>
    </row>
    <row r="215" spans="2:17" ht="12.75">
      <c r="B215" s="57"/>
      <c r="C215" s="57"/>
      <c r="D215" s="57"/>
      <c r="E215" s="57"/>
      <c r="F215" s="57"/>
      <c r="G215" s="57"/>
      <c r="H215" s="57"/>
      <c r="I215" s="56"/>
      <c r="J215" s="57"/>
      <c r="K215" s="57"/>
      <c r="L215" s="57"/>
      <c r="M215" s="57"/>
      <c r="N215" s="57"/>
      <c r="O215" s="57"/>
      <c r="P215" s="66"/>
      <c r="Q215" s="57"/>
    </row>
    <row r="216" spans="2:17" ht="12.75">
      <c r="B216" s="57"/>
      <c r="C216" s="57"/>
      <c r="D216" s="57"/>
      <c r="E216" s="57"/>
      <c r="F216" s="57"/>
      <c r="G216" s="57"/>
      <c r="H216" s="57"/>
      <c r="I216" s="56"/>
      <c r="J216" s="57"/>
      <c r="K216" s="57"/>
      <c r="L216" s="57"/>
      <c r="M216" s="57"/>
      <c r="N216" s="57"/>
      <c r="O216" s="57"/>
      <c r="P216" s="66"/>
      <c r="Q216" s="57"/>
    </row>
    <row r="217" spans="2:17" ht="12.75">
      <c r="B217" s="57"/>
      <c r="C217" s="57"/>
      <c r="D217" s="57"/>
      <c r="E217" s="57"/>
      <c r="F217" s="57"/>
      <c r="G217" s="57"/>
      <c r="H217" s="57"/>
      <c r="I217" s="56"/>
      <c r="J217" s="57"/>
      <c r="K217" s="57"/>
      <c r="L217" s="57"/>
      <c r="M217" s="57"/>
      <c r="N217" s="57"/>
      <c r="O217" s="57"/>
      <c r="P217" s="66"/>
      <c r="Q217" s="57"/>
    </row>
    <row r="218" spans="2:17" ht="12.75">
      <c r="B218" s="57"/>
      <c r="C218" s="57"/>
      <c r="D218" s="57"/>
      <c r="E218" s="57"/>
      <c r="F218" s="57"/>
      <c r="G218" s="57"/>
      <c r="H218" s="57"/>
      <c r="I218" s="56"/>
      <c r="J218" s="57"/>
      <c r="K218" s="57"/>
      <c r="L218" s="57"/>
      <c r="M218" s="57"/>
      <c r="N218" s="57"/>
      <c r="O218" s="57"/>
      <c r="P218" s="66"/>
      <c r="Q218" s="57"/>
    </row>
  </sheetData>
  <sheetProtection/>
  <autoFilter ref="A6:Z6"/>
  <printOptions/>
  <pageMargins left="0.748031496062992" right="0.748031496062992" top="0.984251968503937" bottom="0.984251968503937" header="0.511811023622047" footer="0.511811023622047"/>
  <pageSetup fitToHeight="4" fitToWidth="1" horizontalDpi="600" verticalDpi="600" orientation="landscape" paperSize="9" scale="61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hfc-samalie</dc:creator>
  <cp:keywords/>
  <dc:description/>
  <cp:lastModifiedBy>Samuel Marlow Stevens</cp:lastModifiedBy>
  <cp:lastPrinted>2018-06-22T10:00:09Z</cp:lastPrinted>
  <dcterms:created xsi:type="dcterms:W3CDTF">2005-05-18T08:22:23Z</dcterms:created>
  <dcterms:modified xsi:type="dcterms:W3CDTF">2020-09-23T12:40:01Z</dcterms:modified>
  <cp:category/>
  <cp:version/>
  <cp:contentType/>
  <cp:contentStatus/>
</cp:coreProperties>
</file>